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INFORMACIÓN PUBLICA\2018 Información www asotacgua com\Numeral 8\"/>
    </mc:Choice>
  </mc:AlternateContent>
  <bookViews>
    <workbookView xWindow="0" yWindow="0" windowWidth="20490" windowHeight="7605" tabRatio="844" activeTab="11"/>
  </bookViews>
  <sheets>
    <sheet name="ENERO" sheetId="1" r:id="rId1"/>
    <sheet name="FEBRERO" sheetId="2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 " sheetId="10" r:id="rId9"/>
    <sheet name="OCTUBRE" sheetId="12" r:id="rId10"/>
    <sheet name="NOVIEMBRE" sheetId="13" r:id="rId11"/>
    <sheet name="DICIEMBRE" sheetId="14" r:id="rId12"/>
  </sheets>
  <definedNames>
    <definedName name="_xlnm._FilterDatabase" localSheetId="3" hidden="1">ABRIL!$A$22:$A$124</definedName>
    <definedName name="_xlnm._FilterDatabase" localSheetId="7" hidden="1">AGOSTO!$A$22:$A$123</definedName>
    <definedName name="_xlnm._FilterDatabase" localSheetId="11" hidden="1">DICIEMBRE!$A$27:$A$141</definedName>
    <definedName name="_xlnm._FilterDatabase" localSheetId="6" hidden="1">JULIO!$A$22:$A$123</definedName>
    <definedName name="_xlnm._FilterDatabase" localSheetId="5" hidden="1">JUNIO!$A$22:$A$123</definedName>
    <definedName name="_xlnm._FilterDatabase" localSheetId="2" hidden="1">MARZO!$A$22:$A$124</definedName>
    <definedName name="_xlnm._FilterDatabase" localSheetId="4" hidden="1">MAYO!$A$22:$A$123</definedName>
    <definedName name="_xlnm._FilterDatabase" localSheetId="10" hidden="1">NOVIEMBRE!$A$22:$A$127</definedName>
    <definedName name="_xlnm._FilterDatabase" localSheetId="9" hidden="1">OCTUBRE!$A$22:$A$123</definedName>
    <definedName name="_xlnm._FilterDatabase" localSheetId="8" hidden="1">'SEPTIEMBRE '!$A$22:$A$123</definedName>
    <definedName name="_xlnm.Print_Area" localSheetId="3">ABRIL!$A$1:$L$158</definedName>
    <definedName name="_xlnm.Print_Area" localSheetId="7">AGOSTO!$A$1:$N$157</definedName>
    <definedName name="_xlnm.Print_Area" localSheetId="11">DICIEMBRE!$A$1:$T$174</definedName>
    <definedName name="_xlnm.Print_Area" localSheetId="0">ENERO!$A$1:$L$156</definedName>
    <definedName name="_xlnm.Print_Area" localSheetId="1">FEBRERO!$A$1:$L$156</definedName>
    <definedName name="_xlnm.Print_Area" localSheetId="6">JULIO!$A$1:$L$154</definedName>
    <definedName name="_xlnm.Print_Area" localSheetId="5">JUNIO!$A$1:$L$154</definedName>
    <definedName name="_xlnm.Print_Area" localSheetId="2">MARZO!$A$1:$L$157</definedName>
    <definedName name="_xlnm.Print_Area" localSheetId="4">MAYO!$A$1:$L$154</definedName>
    <definedName name="_xlnm.Print_Area" localSheetId="10">NOVIEMBRE!$A$1:$T$160</definedName>
    <definedName name="_xlnm.Print_Area" localSheetId="9">OCTUBRE!$A$1:$P$156</definedName>
    <definedName name="_xlnm.Print_Area" localSheetId="8">'SEPTIEMBRE '!$A$1:$N$157</definedName>
    <definedName name="_xlnm.Print_Titles" localSheetId="3">ABRIL!$6:$7</definedName>
    <definedName name="_xlnm.Print_Titles" localSheetId="7">AGOSTO!$6:$7</definedName>
    <definedName name="_xlnm.Print_Titles" localSheetId="11">DICIEMBRE!$6:$7</definedName>
    <definedName name="_xlnm.Print_Titles" localSheetId="0">ENERO!$6:$7</definedName>
    <definedName name="_xlnm.Print_Titles" localSheetId="1">FEBRERO!$6:$7</definedName>
    <definedName name="_xlnm.Print_Titles" localSheetId="6">JULIO!$6:$7</definedName>
    <definedName name="_xlnm.Print_Titles" localSheetId="5">JUNIO!$6:$7</definedName>
    <definedName name="_xlnm.Print_Titles" localSheetId="2">MARZO!$6:$7</definedName>
    <definedName name="_xlnm.Print_Titles" localSheetId="4">MAYO!$6:$7</definedName>
    <definedName name="_xlnm.Print_Titles" localSheetId="10">NOVIEMBRE!$6:$7</definedName>
    <definedName name="_xlnm.Print_Titles" localSheetId="9">OCTUBRE!$6:$7</definedName>
    <definedName name="_xlnm.Print_Titles" localSheetId="8">'SEPTIEMBRE '!$6:$7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4" i="14" l="1"/>
  <c r="Q140" i="14" l="1"/>
  <c r="P140" i="14"/>
  <c r="R138" i="14" l="1"/>
  <c r="R137" i="14"/>
  <c r="R136" i="14"/>
  <c r="R135" i="14"/>
  <c r="R129" i="14"/>
  <c r="R128" i="14"/>
  <c r="R127" i="14"/>
  <c r="R126" i="14"/>
  <c r="R125" i="14"/>
  <c r="R124" i="14"/>
  <c r="R123" i="14"/>
  <c r="R122" i="14"/>
  <c r="R116" i="14"/>
  <c r="R115" i="14"/>
  <c r="R114" i="14"/>
  <c r="R113" i="14"/>
  <c r="R112" i="14"/>
  <c r="R111" i="14"/>
  <c r="R110" i="14"/>
  <c r="R109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Q127" i="13"/>
  <c r="P127" i="13"/>
  <c r="Q20" i="13"/>
  <c r="P20" i="13"/>
  <c r="C156" i="14" l="1"/>
  <c r="C159" i="14" l="1"/>
  <c r="C148" i="14"/>
  <c r="S140" i="14"/>
  <c r="C150" i="14" s="1"/>
  <c r="O140" i="14"/>
  <c r="N140" i="14"/>
  <c r="L140" i="14"/>
  <c r="K140" i="14"/>
  <c r="J140" i="14"/>
  <c r="I140" i="14"/>
  <c r="H140" i="14"/>
  <c r="G140" i="14"/>
  <c r="F140" i="14"/>
  <c r="E140" i="14"/>
  <c r="D140" i="14"/>
  <c r="C140" i="14"/>
  <c r="T138" i="14"/>
  <c r="T136" i="14"/>
  <c r="T135" i="14"/>
  <c r="T134" i="14"/>
  <c r="T129" i="14"/>
  <c r="T128" i="14"/>
  <c r="T127" i="14"/>
  <c r="T126" i="14"/>
  <c r="T125" i="14"/>
  <c r="T124" i="14"/>
  <c r="T123" i="14"/>
  <c r="T122" i="14"/>
  <c r="T116" i="14"/>
  <c r="T115" i="14"/>
  <c r="T114" i="14"/>
  <c r="T113" i="14"/>
  <c r="T112" i="14"/>
  <c r="T111" i="14"/>
  <c r="T110" i="14"/>
  <c r="T109" i="14"/>
  <c r="M108" i="14"/>
  <c r="R108" i="14" s="1"/>
  <c r="T108" i="14" s="1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5" i="14"/>
  <c r="T94" i="14"/>
  <c r="T93" i="14"/>
  <c r="T92" i="14"/>
  <c r="T91" i="14"/>
  <c r="T90" i="14"/>
  <c r="T89" i="14"/>
  <c r="T88" i="14"/>
  <c r="T87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0" i="14"/>
  <c r="T49" i="14"/>
  <c r="T48" i="14"/>
  <c r="T43" i="14"/>
  <c r="T42" i="14"/>
  <c r="T41" i="14"/>
  <c r="T40" i="14"/>
  <c r="T39" i="14"/>
  <c r="T38" i="14"/>
  <c r="T37" i="14"/>
  <c r="T36" i="14"/>
  <c r="T34" i="14"/>
  <c r="T33" i="14"/>
  <c r="T32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1" i="14"/>
  <c r="R21" i="14" s="1"/>
  <c r="T21" i="14" s="1"/>
  <c r="R20" i="14"/>
  <c r="T20" i="14" s="1"/>
  <c r="R19" i="14"/>
  <c r="T19" i="14" s="1"/>
  <c r="R18" i="14"/>
  <c r="T18" i="14" s="1"/>
  <c r="R17" i="14"/>
  <c r="T17" i="14" s="1"/>
  <c r="R16" i="14"/>
  <c r="T16" i="14" s="1"/>
  <c r="R15" i="14"/>
  <c r="T15" i="14" s="1"/>
  <c r="R14" i="14"/>
  <c r="T14" i="14" s="1"/>
  <c r="R13" i="14"/>
  <c r="T13" i="14" s="1"/>
  <c r="C12" i="14"/>
  <c r="C23" i="14" l="1"/>
  <c r="R140" i="14"/>
  <c r="M140" i="14"/>
  <c r="U56" i="14"/>
  <c r="U70" i="14"/>
  <c r="U48" i="14"/>
  <c r="U55" i="14"/>
  <c r="U63" i="14"/>
  <c r="U65" i="14"/>
  <c r="U36" i="14"/>
  <c r="U32" i="14"/>
  <c r="U40" i="14"/>
  <c r="U53" i="14"/>
  <c r="U59" i="14"/>
  <c r="U61" i="14"/>
  <c r="U79" i="14"/>
  <c r="U87" i="14"/>
  <c r="U100" i="14"/>
  <c r="U103" i="14"/>
  <c r="U35" i="14"/>
  <c r="U39" i="14"/>
  <c r="U43" i="14"/>
  <c r="U51" i="14"/>
  <c r="U57" i="14"/>
  <c r="U75" i="14"/>
  <c r="U78" i="14"/>
  <c r="U96" i="14"/>
  <c r="U99" i="14"/>
  <c r="U109" i="14"/>
  <c r="U113" i="14"/>
  <c r="U122" i="14"/>
  <c r="U126" i="14"/>
  <c r="U135" i="14"/>
  <c r="U33" i="14"/>
  <c r="U37" i="14"/>
  <c r="U41" i="14"/>
  <c r="U49" i="14"/>
  <c r="U54" i="14"/>
  <c r="U67" i="14"/>
  <c r="U71" i="14"/>
  <c r="U74" i="14"/>
  <c r="U92" i="14"/>
  <c r="U95" i="14"/>
  <c r="U108" i="14"/>
  <c r="U112" i="14"/>
  <c r="U116" i="14"/>
  <c r="U125" i="14"/>
  <c r="U138" i="14"/>
  <c r="U88" i="14"/>
  <c r="U91" i="14"/>
  <c r="U104" i="14"/>
  <c r="U107" i="14"/>
  <c r="U110" i="14"/>
  <c r="U114" i="14"/>
  <c r="U123" i="14"/>
  <c r="U127" i="14"/>
  <c r="U60" i="14"/>
  <c r="U64" i="14"/>
  <c r="U68" i="14"/>
  <c r="U72" i="14"/>
  <c r="U76" i="14"/>
  <c r="U80" i="14"/>
  <c r="U89" i="14"/>
  <c r="U93" i="14"/>
  <c r="U97" i="14"/>
  <c r="U101" i="14"/>
  <c r="U105" i="14"/>
  <c r="U136" i="14"/>
  <c r="S23" i="14"/>
  <c r="T35" i="14"/>
  <c r="T140" i="14" s="1"/>
  <c r="R12" i="14"/>
  <c r="U34" i="14"/>
  <c r="U38" i="14"/>
  <c r="U42" i="14"/>
  <c r="U50" i="14"/>
  <c r="U52" i="14"/>
  <c r="U58" i="14"/>
  <c r="U62" i="14"/>
  <c r="U66" i="14"/>
  <c r="U69" i="14"/>
  <c r="U73" i="14"/>
  <c r="U77" i="14"/>
  <c r="U81" i="14"/>
  <c r="U90" i="14"/>
  <c r="U94" i="14"/>
  <c r="U98" i="14"/>
  <c r="U102" i="14"/>
  <c r="U106" i="14"/>
  <c r="U111" i="14"/>
  <c r="U115" i="14"/>
  <c r="U124" i="14"/>
  <c r="U134" i="14"/>
  <c r="U137" i="14"/>
  <c r="S127" i="13"/>
  <c r="U17" i="14" l="1"/>
  <c r="U15" i="14"/>
  <c r="C149" i="14"/>
  <c r="C151" i="14" s="1"/>
  <c r="C162" i="14" s="1"/>
  <c r="U19" i="14"/>
  <c r="U12" i="14"/>
  <c r="U21" i="14"/>
  <c r="U16" i="14"/>
  <c r="U20" i="14"/>
  <c r="U13" i="14"/>
  <c r="U18" i="14"/>
  <c r="T12" i="14"/>
  <c r="T23" i="14" s="1"/>
  <c r="R23" i="14"/>
  <c r="U14" i="14"/>
  <c r="R49" i="13"/>
  <c r="R81" i="13" l="1"/>
  <c r="R50" i="13"/>
  <c r="N47" i="12"/>
  <c r="T49" i="13" l="1"/>
  <c r="M99" i="13"/>
  <c r="R99" i="13" s="1"/>
  <c r="N127" i="13"/>
  <c r="O127" i="13"/>
  <c r="O20" i="13"/>
  <c r="N20" i="13"/>
  <c r="C143" i="13" l="1"/>
  <c r="S15" i="13" l="1"/>
  <c r="S14" i="13"/>
  <c r="S12" i="13"/>
  <c r="C145" i="13"/>
  <c r="C135" i="13"/>
  <c r="M127" i="13"/>
  <c r="L127" i="13"/>
  <c r="U60" i="13"/>
  <c r="K127" i="13"/>
  <c r="J127" i="13"/>
  <c r="I127" i="13"/>
  <c r="H127" i="13"/>
  <c r="G127" i="13"/>
  <c r="F127" i="13"/>
  <c r="E127" i="13"/>
  <c r="D127" i="13"/>
  <c r="C127" i="13"/>
  <c r="R125" i="13"/>
  <c r="T125" i="13" s="1"/>
  <c r="R124" i="13"/>
  <c r="R123" i="13"/>
  <c r="T123" i="13" s="1"/>
  <c r="R122" i="13"/>
  <c r="T122" i="13" s="1"/>
  <c r="R121" i="13"/>
  <c r="T121" i="13" s="1"/>
  <c r="R118" i="13"/>
  <c r="T118" i="13" s="1"/>
  <c r="R117" i="13"/>
  <c r="T117" i="13" s="1"/>
  <c r="R116" i="13"/>
  <c r="T116" i="13" s="1"/>
  <c r="R115" i="13"/>
  <c r="T115" i="13" s="1"/>
  <c r="R114" i="13"/>
  <c r="T114" i="13" s="1"/>
  <c r="R113" i="13"/>
  <c r="T113" i="13" s="1"/>
  <c r="R112" i="13"/>
  <c r="T112" i="13" s="1"/>
  <c r="R111" i="13"/>
  <c r="T111" i="13" s="1"/>
  <c r="R107" i="13"/>
  <c r="T107" i="13" s="1"/>
  <c r="R106" i="13"/>
  <c r="T106" i="13" s="1"/>
  <c r="R105" i="13"/>
  <c r="T105" i="13" s="1"/>
  <c r="R104" i="13"/>
  <c r="T104" i="13" s="1"/>
  <c r="R103" i="13"/>
  <c r="T103" i="13" s="1"/>
  <c r="R102" i="13"/>
  <c r="T102" i="13" s="1"/>
  <c r="R101" i="13"/>
  <c r="T101" i="13" s="1"/>
  <c r="R100" i="13"/>
  <c r="T100" i="13" s="1"/>
  <c r="T99" i="13"/>
  <c r="R98" i="13"/>
  <c r="T98" i="13" s="1"/>
  <c r="R97" i="13"/>
  <c r="T97" i="13" s="1"/>
  <c r="R96" i="13"/>
  <c r="T96" i="13" s="1"/>
  <c r="R95" i="13"/>
  <c r="T95" i="13" s="1"/>
  <c r="R94" i="13"/>
  <c r="T94" i="13" s="1"/>
  <c r="R93" i="13"/>
  <c r="T93" i="13" s="1"/>
  <c r="R92" i="13"/>
  <c r="T92" i="13" s="1"/>
  <c r="R91" i="13"/>
  <c r="T91" i="13" s="1"/>
  <c r="R90" i="13"/>
  <c r="T90" i="13" s="1"/>
  <c r="R89" i="13"/>
  <c r="T89" i="13" s="1"/>
  <c r="R88" i="13"/>
  <c r="T88" i="13" s="1"/>
  <c r="R87" i="13"/>
  <c r="T87" i="13" s="1"/>
  <c r="R86" i="13"/>
  <c r="T86" i="13" s="1"/>
  <c r="R85" i="13"/>
  <c r="T85" i="13" s="1"/>
  <c r="R84" i="13"/>
  <c r="T84" i="13" s="1"/>
  <c r="R83" i="13"/>
  <c r="T83" i="13" s="1"/>
  <c r="R82" i="13"/>
  <c r="T82" i="13" s="1"/>
  <c r="T81" i="13"/>
  <c r="R80" i="13"/>
  <c r="T80" i="13" s="1"/>
  <c r="R79" i="13"/>
  <c r="T79" i="13" s="1"/>
  <c r="R78" i="13"/>
  <c r="T78" i="13" s="1"/>
  <c r="R74" i="13"/>
  <c r="T74" i="13" s="1"/>
  <c r="R73" i="13"/>
  <c r="T73" i="13" s="1"/>
  <c r="R72" i="13"/>
  <c r="T72" i="13" s="1"/>
  <c r="R71" i="13"/>
  <c r="T71" i="13" s="1"/>
  <c r="R70" i="13"/>
  <c r="T70" i="13" s="1"/>
  <c r="R69" i="13"/>
  <c r="T69" i="13" s="1"/>
  <c r="R68" i="13"/>
  <c r="T68" i="13" s="1"/>
  <c r="R67" i="13"/>
  <c r="T67" i="13" s="1"/>
  <c r="R66" i="13"/>
  <c r="T66" i="13" s="1"/>
  <c r="R65" i="13"/>
  <c r="T65" i="13" s="1"/>
  <c r="R64" i="13"/>
  <c r="T64" i="13" s="1"/>
  <c r="R63" i="13"/>
  <c r="T63" i="13" s="1"/>
  <c r="T62" i="13"/>
  <c r="R61" i="13"/>
  <c r="T61" i="13" s="1"/>
  <c r="R60" i="13"/>
  <c r="T60" i="13" s="1"/>
  <c r="R59" i="13"/>
  <c r="T59" i="13" s="1"/>
  <c r="R58" i="13"/>
  <c r="T58" i="13" s="1"/>
  <c r="R57" i="13"/>
  <c r="T57" i="13" s="1"/>
  <c r="R56" i="13"/>
  <c r="T56" i="13" s="1"/>
  <c r="R55" i="13"/>
  <c r="T55" i="13" s="1"/>
  <c r="R54" i="13"/>
  <c r="T54" i="13" s="1"/>
  <c r="R53" i="13"/>
  <c r="T53" i="13" s="1"/>
  <c r="R52" i="13"/>
  <c r="T52" i="13" s="1"/>
  <c r="T51" i="13"/>
  <c r="R51" i="13"/>
  <c r="T50" i="13"/>
  <c r="T48" i="13"/>
  <c r="T47" i="13"/>
  <c r="R46" i="13"/>
  <c r="T46" i="13" s="1"/>
  <c r="R45" i="13"/>
  <c r="R44" i="13"/>
  <c r="R43" i="13"/>
  <c r="T43" i="13" s="1"/>
  <c r="R42" i="13"/>
  <c r="T42" i="13" s="1"/>
  <c r="R41" i="13"/>
  <c r="T41" i="13" s="1"/>
  <c r="R37" i="13"/>
  <c r="T37" i="13" s="1"/>
  <c r="R36" i="13"/>
  <c r="T36" i="13" s="1"/>
  <c r="R35" i="13"/>
  <c r="T35" i="13" s="1"/>
  <c r="R34" i="13"/>
  <c r="T34" i="13" s="1"/>
  <c r="R33" i="13"/>
  <c r="T33" i="13" s="1"/>
  <c r="R32" i="13"/>
  <c r="T32" i="13" s="1"/>
  <c r="R31" i="13"/>
  <c r="T31" i="13" s="1"/>
  <c r="R30" i="13"/>
  <c r="T30" i="13" s="1"/>
  <c r="R29" i="13"/>
  <c r="T29" i="13" s="1"/>
  <c r="R28" i="13"/>
  <c r="T28" i="13" s="1"/>
  <c r="R27" i="13"/>
  <c r="T27" i="13" s="1"/>
  <c r="R26" i="13"/>
  <c r="T26" i="13" s="1"/>
  <c r="M20" i="13"/>
  <c r="L20" i="13"/>
  <c r="K20" i="13"/>
  <c r="J20" i="13"/>
  <c r="I20" i="13"/>
  <c r="H20" i="13"/>
  <c r="G20" i="13"/>
  <c r="F20" i="13"/>
  <c r="E20" i="13"/>
  <c r="D20" i="13"/>
  <c r="C19" i="13"/>
  <c r="R19" i="13" s="1"/>
  <c r="T19" i="13" s="1"/>
  <c r="R18" i="13"/>
  <c r="T18" i="13" s="1"/>
  <c r="R17" i="13"/>
  <c r="T17" i="13" s="1"/>
  <c r="R16" i="13"/>
  <c r="T16" i="13" s="1"/>
  <c r="R15" i="13"/>
  <c r="T15" i="13" s="1"/>
  <c r="R14" i="13"/>
  <c r="T14" i="13" s="1"/>
  <c r="R13" i="13"/>
  <c r="T13" i="13" s="1"/>
  <c r="R12" i="13"/>
  <c r="T12" i="13" s="1"/>
  <c r="R11" i="13"/>
  <c r="T11" i="13" s="1"/>
  <c r="C10" i="13"/>
  <c r="C20" i="13" s="1"/>
  <c r="U32" i="13" l="1"/>
  <c r="U43" i="13"/>
  <c r="U123" i="13"/>
  <c r="U30" i="13"/>
  <c r="U41" i="13"/>
  <c r="U51" i="13"/>
  <c r="U116" i="13"/>
  <c r="C137" i="13"/>
  <c r="U48" i="13"/>
  <c r="U56" i="13"/>
  <c r="U64" i="13"/>
  <c r="U27" i="13"/>
  <c r="U33" i="13"/>
  <c r="U35" i="13"/>
  <c r="U44" i="13"/>
  <c r="U46" i="13"/>
  <c r="U53" i="13"/>
  <c r="U62" i="13"/>
  <c r="U67" i="13"/>
  <c r="U29" i="13"/>
  <c r="U37" i="13"/>
  <c r="U50" i="13"/>
  <c r="U55" i="13"/>
  <c r="U57" i="13"/>
  <c r="U66" i="13"/>
  <c r="U68" i="13"/>
  <c r="U72" i="13"/>
  <c r="U79" i="13"/>
  <c r="U85" i="13"/>
  <c r="U26" i="13"/>
  <c r="U28" i="13"/>
  <c r="U31" i="13"/>
  <c r="U34" i="13"/>
  <c r="U36" i="13"/>
  <c r="U42" i="13"/>
  <c r="U45" i="13"/>
  <c r="U47" i="13"/>
  <c r="U49" i="13"/>
  <c r="U52" i="13"/>
  <c r="U59" i="13"/>
  <c r="U61" i="13"/>
  <c r="U63" i="13"/>
  <c r="U70" i="13"/>
  <c r="U74" i="13"/>
  <c r="U90" i="13"/>
  <c r="U98" i="13"/>
  <c r="U103" i="13"/>
  <c r="U71" i="13"/>
  <c r="U82" i="13"/>
  <c r="U95" i="13"/>
  <c r="U101" i="13"/>
  <c r="U87" i="13"/>
  <c r="U93" i="13"/>
  <c r="U106" i="13"/>
  <c r="U111" i="13"/>
  <c r="U58" i="13"/>
  <c r="U65" i="13"/>
  <c r="U73" i="13"/>
  <c r="U84" i="13"/>
  <c r="U92" i="13"/>
  <c r="U100" i="13"/>
  <c r="U113" i="13"/>
  <c r="U115" i="13"/>
  <c r="U78" i="13"/>
  <c r="U81" i="13"/>
  <c r="U83" i="13"/>
  <c r="U86" i="13"/>
  <c r="U89" i="13"/>
  <c r="U91" i="13"/>
  <c r="U94" i="13"/>
  <c r="U97" i="13"/>
  <c r="U99" i="13"/>
  <c r="U102" i="13"/>
  <c r="U105" i="13"/>
  <c r="U54" i="13"/>
  <c r="U69" i="13"/>
  <c r="U80" i="13"/>
  <c r="U88" i="13"/>
  <c r="U96" i="13"/>
  <c r="U104" i="13"/>
  <c r="U112" i="13"/>
  <c r="S20" i="13"/>
  <c r="U13" i="13" s="1"/>
  <c r="T127" i="13"/>
  <c r="R10" i="13"/>
  <c r="R127" i="13"/>
  <c r="U107" i="13"/>
  <c r="U114" i="13"/>
  <c r="U122" i="13"/>
  <c r="U125" i="13"/>
  <c r="U121" i="13"/>
  <c r="U124" i="13"/>
  <c r="U14" i="13" l="1"/>
  <c r="U10" i="13"/>
  <c r="U11" i="13"/>
  <c r="U19" i="13"/>
  <c r="C136" i="13"/>
  <c r="C138" i="13" s="1"/>
  <c r="C148" i="13" s="1"/>
  <c r="U16" i="13"/>
  <c r="U17" i="13"/>
  <c r="U18" i="13"/>
  <c r="U15" i="13"/>
  <c r="U12" i="13"/>
  <c r="R20" i="13"/>
  <c r="T10" i="13"/>
  <c r="T20" i="13" s="1"/>
  <c r="N50" i="12"/>
  <c r="N49" i="12"/>
  <c r="N48" i="12"/>
  <c r="N44" i="12"/>
  <c r="N99" i="12"/>
  <c r="N119" i="12"/>
  <c r="N96" i="12"/>
  <c r="N98" i="12"/>
  <c r="N94" i="12"/>
  <c r="N95" i="12"/>
  <c r="N87" i="12"/>
  <c r="N88" i="12"/>
  <c r="N84" i="12"/>
  <c r="N85" i="12"/>
  <c r="N80" i="12"/>
  <c r="N79" i="12"/>
  <c r="N118" i="12"/>
  <c r="C141" i="12" l="1"/>
  <c r="C131" i="12"/>
  <c r="M123" i="12"/>
  <c r="L123" i="12"/>
  <c r="O123" i="12"/>
  <c r="C133" i="12" s="1"/>
  <c r="K123" i="12"/>
  <c r="J123" i="12"/>
  <c r="I123" i="12"/>
  <c r="H123" i="12"/>
  <c r="G123" i="12"/>
  <c r="F123" i="12"/>
  <c r="E123" i="12"/>
  <c r="D123" i="12"/>
  <c r="C123" i="12"/>
  <c r="N121" i="12"/>
  <c r="P121" i="12" s="1"/>
  <c r="N120" i="12"/>
  <c r="P119" i="12"/>
  <c r="P118" i="12"/>
  <c r="N117" i="12"/>
  <c r="P117" i="12" s="1"/>
  <c r="N114" i="12"/>
  <c r="P114" i="12" s="1"/>
  <c r="N113" i="12"/>
  <c r="P113" i="12" s="1"/>
  <c r="N112" i="12"/>
  <c r="P112" i="12" s="1"/>
  <c r="N111" i="12"/>
  <c r="P111" i="12" s="1"/>
  <c r="N110" i="12"/>
  <c r="P110" i="12" s="1"/>
  <c r="N109" i="12"/>
  <c r="P109" i="12" s="1"/>
  <c r="N108" i="12"/>
  <c r="P108" i="12" s="1"/>
  <c r="N107" i="12"/>
  <c r="P107" i="12" s="1"/>
  <c r="N104" i="12"/>
  <c r="P104" i="12" s="1"/>
  <c r="N103" i="12"/>
  <c r="P103" i="12" s="1"/>
  <c r="N102" i="12"/>
  <c r="P102" i="12" s="1"/>
  <c r="N101" i="12"/>
  <c r="P101" i="12" s="1"/>
  <c r="N100" i="12"/>
  <c r="P100" i="12" s="1"/>
  <c r="P99" i="12"/>
  <c r="P98" i="12"/>
  <c r="N97" i="12"/>
  <c r="P97" i="12" s="1"/>
  <c r="P96" i="12"/>
  <c r="P95" i="12"/>
  <c r="P94" i="12"/>
  <c r="N93" i="12"/>
  <c r="P93" i="12" s="1"/>
  <c r="N92" i="12"/>
  <c r="P92" i="12" s="1"/>
  <c r="N91" i="12"/>
  <c r="P91" i="12" s="1"/>
  <c r="N90" i="12"/>
  <c r="P90" i="12" s="1"/>
  <c r="N89" i="12"/>
  <c r="P89" i="12" s="1"/>
  <c r="P88" i="12"/>
  <c r="P87" i="12"/>
  <c r="N86" i="12"/>
  <c r="P86" i="12" s="1"/>
  <c r="P85" i="12"/>
  <c r="P84" i="12"/>
  <c r="N83" i="12"/>
  <c r="P83" i="12" s="1"/>
  <c r="N82" i="12"/>
  <c r="P82" i="12" s="1"/>
  <c r="N81" i="12"/>
  <c r="P81" i="12" s="1"/>
  <c r="P80" i="12"/>
  <c r="P79" i="12"/>
  <c r="N78" i="12"/>
  <c r="P78" i="12" s="1"/>
  <c r="N77" i="12"/>
  <c r="P77" i="12" s="1"/>
  <c r="N76" i="12"/>
  <c r="P76" i="12" s="1"/>
  <c r="N75" i="12"/>
  <c r="P75" i="12" s="1"/>
  <c r="N72" i="12"/>
  <c r="P72" i="12" s="1"/>
  <c r="N71" i="12"/>
  <c r="P71" i="12" s="1"/>
  <c r="N70" i="12"/>
  <c r="P70" i="12" s="1"/>
  <c r="N69" i="12"/>
  <c r="P69" i="12" s="1"/>
  <c r="N68" i="12"/>
  <c r="P68" i="12" s="1"/>
  <c r="N67" i="12"/>
  <c r="P67" i="12" s="1"/>
  <c r="N66" i="12"/>
  <c r="P66" i="12" s="1"/>
  <c r="N65" i="12"/>
  <c r="P65" i="12" s="1"/>
  <c r="N64" i="12"/>
  <c r="P64" i="12" s="1"/>
  <c r="N63" i="12"/>
  <c r="P63" i="12" s="1"/>
  <c r="N62" i="12"/>
  <c r="P62" i="12" s="1"/>
  <c r="N61" i="12"/>
  <c r="P61" i="12" s="1"/>
  <c r="Q60" i="12"/>
  <c r="P60" i="12"/>
  <c r="N59" i="12"/>
  <c r="P59" i="12" s="1"/>
  <c r="N58" i="12"/>
  <c r="P58" i="12" s="1"/>
  <c r="Q57" i="12"/>
  <c r="N57" i="12"/>
  <c r="P57" i="12" s="1"/>
  <c r="N56" i="12"/>
  <c r="P56" i="12" s="1"/>
  <c r="N55" i="12"/>
  <c r="P55" i="12" s="1"/>
  <c r="N54" i="12"/>
  <c r="P54" i="12" s="1"/>
  <c r="Q53" i="12"/>
  <c r="N53" i="12"/>
  <c r="P53" i="12" s="1"/>
  <c r="N52" i="12"/>
  <c r="P52" i="12" s="1"/>
  <c r="N51" i="12"/>
  <c r="P51" i="12" s="1"/>
  <c r="P50" i="12"/>
  <c r="Q49" i="12"/>
  <c r="P49" i="12"/>
  <c r="P48" i="12"/>
  <c r="P47" i="12"/>
  <c r="P46" i="12"/>
  <c r="Q45" i="12"/>
  <c r="P45" i="12"/>
  <c r="P44" i="12"/>
  <c r="N43" i="12"/>
  <c r="P43" i="12" s="1"/>
  <c r="N42" i="12"/>
  <c r="P42" i="12" s="1"/>
  <c r="N41" i="12"/>
  <c r="P41" i="12" s="1"/>
  <c r="N40" i="12"/>
  <c r="P40" i="12" s="1"/>
  <c r="N39" i="12"/>
  <c r="P39" i="12" s="1"/>
  <c r="N36" i="12"/>
  <c r="P36" i="12" s="1"/>
  <c r="N35" i="12"/>
  <c r="P35" i="12" s="1"/>
  <c r="N34" i="12"/>
  <c r="P34" i="12" s="1"/>
  <c r="N33" i="12"/>
  <c r="P33" i="12" s="1"/>
  <c r="N32" i="12"/>
  <c r="P32" i="12" s="1"/>
  <c r="N31" i="12"/>
  <c r="P31" i="12" s="1"/>
  <c r="N30" i="12"/>
  <c r="P30" i="12" s="1"/>
  <c r="N29" i="12"/>
  <c r="P29" i="12" s="1"/>
  <c r="N28" i="12"/>
  <c r="P28" i="12" s="1"/>
  <c r="N27" i="12"/>
  <c r="P27" i="12" s="1"/>
  <c r="N26" i="12"/>
  <c r="P26" i="12" s="1"/>
  <c r="N25" i="12"/>
  <c r="P25" i="12" s="1"/>
  <c r="O20" i="12"/>
  <c r="M20" i="12"/>
  <c r="L20" i="12"/>
  <c r="K20" i="12"/>
  <c r="J20" i="12"/>
  <c r="I20" i="12"/>
  <c r="H20" i="12"/>
  <c r="G20" i="12"/>
  <c r="F20" i="12"/>
  <c r="E20" i="12"/>
  <c r="D20" i="12"/>
  <c r="C19" i="12"/>
  <c r="N19" i="12" s="1"/>
  <c r="P19" i="12" s="1"/>
  <c r="N18" i="12"/>
  <c r="P18" i="12" s="1"/>
  <c r="Q17" i="12"/>
  <c r="N17" i="12"/>
  <c r="P17" i="12" s="1"/>
  <c r="N16" i="12"/>
  <c r="P16" i="12" s="1"/>
  <c r="N15" i="12"/>
  <c r="P15" i="12" s="1"/>
  <c r="N14" i="12"/>
  <c r="P14" i="12" s="1"/>
  <c r="Q13" i="12"/>
  <c r="N13" i="12"/>
  <c r="P13" i="12" s="1"/>
  <c r="N12" i="12"/>
  <c r="P12" i="12" s="1"/>
  <c r="N11" i="12"/>
  <c r="P11" i="12" s="1"/>
  <c r="C10" i="12"/>
  <c r="N10" i="12" s="1"/>
  <c r="Q19" i="12" l="1"/>
  <c r="C132" i="12"/>
  <c r="Q64" i="12"/>
  <c r="Q72" i="12"/>
  <c r="Q82" i="12"/>
  <c r="Q90" i="12"/>
  <c r="Q98" i="12"/>
  <c r="Q108" i="12"/>
  <c r="Q112" i="12"/>
  <c r="Q119" i="12"/>
  <c r="Q29" i="12"/>
  <c r="Q39" i="12"/>
  <c r="Q48" i="12"/>
  <c r="Q56" i="12"/>
  <c r="Q63" i="12"/>
  <c r="Q71" i="12"/>
  <c r="Q77" i="12"/>
  <c r="Q85" i="12"/>
  <c r="Q89" i="12"/>
  <c r="Q93" i="12"/>
  <c r="Q97" i="12"/>
  <c r="Q101" i="12"/>
  <c r="Q111" i="12"/>
  <c r="Q28" i="12"/>
  <c r="Q32" i="12"/>
  <c r="Q36" i="12"/>
  <c r="Q42" i="12"/>
  <c r="Q68" i="12"/>
  <c r="Q78" i="12"/>
  <c r="Q86" i="12"/>
  <c r="Q94" i="12"/>
  <c r="Q102" i="12"/>
  <c r="Q25" i="12"/>
  <c r="Q33" i="12"/>
  <c r="Q43" i="12"/>
  <c r="Q52" i="12"/>
  <c r="Q67" i="12"/>
  <c r="Q81" i="12"/>
  <c r="Q107" i="12"/>
  <c r="N20" i="12"/>
  <c r="P10" i="12"/>
  <c r="P20" i="12" s="1"/>
  <c r="P123" i="12"/>
  <c r="C20" i="12"/>
  <c r="N123" i="12"/>
  <c r="Q12" i="12"/>
  <c r="Q11" i="12"/>
  <c r="Q15" i="12"/>
  <c r="Q27" i="12"/>
  <c r="Q31" i="12"/>
  <c r="Q35" i="12"/>
  <c r="Q41" i="12"/>
  <c r="Q47" i="12"/>
  <c r="Q51" i="12"/>
  <c r="Q55" i="12"/>
  <c r="Q59" i="12"/>
  <c r="Q62" i="12"/>
  <c r="Q66" i="12"/>
  <c r="Q70" i="12"/>
  <c r="Q76" i="12"/>
  <c r="Q80" i="12"/>
  <c r="Q84" i="12"/>
  <c r="Q88" i="12"/>
  <c r="Q92" i="12"/>
  <c r="Q96" i="12"/>
  <c r="Q100" i="12"/>
  <c r="Q104" i="12"/>
  <c r="Q110" i="12"/>
  <c r="Q118" i="12"/>
  <c r="Q121" i="12"/>
  <c r="C134" i="12"/>
  <c r="C144" i="12" s="1"/>
  <c r="C145" i="12" s="1"/>
  <c r="Q16" i="12"/>
  <c r="Q10" i="12"/>
  <c r="Q14" i="12"/>
  <c r="Q18" i="12"/>
  <c r="Q26" i="12"/>
  <c r="Q30" i="12"/>
  <c r="Q34" i="12"/>
  <c r="Q40" i="12"/>
  <c r="Q44" i="12"/>
  <c r="Q46" i="12"/>
  <c r="Q50" i="12"/>
  <c r="Q54" i="12"/>
  <c r="Q58" i="12"/>
  <c r="Q61" i="12"/>
  <c r="Q65" i="12"/>
  <c r="Q69" i="12"/>
  <c r="Q75" i="12"/>
  <c r="Q79" i="12"/>
  <c r="Q83" i="12"/>
  <c r="Q87" i="12"/>
  <c r="Q91" i="12"/>
  <c r="Q95" i="12"/>
  <c r="Q99" i="12"/>
  <c r="Q103" i="12"/>
  <c r="Q109" i="12"/>
  <c r="Q117" i="12"/>
  <c r="Q120" i="12"/>
  <c r="L117" i="10"/>
  <c r="L27" i="10"/>
  <c r="L121" i="10"/>
  <c r="L120" i="10"/>
  <c r="L119" i="10"/>
  <c r="L118" i="10"/>
  <c r="L114" i="10"/>
  <c r="L113" i="10"/>
  <c r="L112" i="10"/>
  <c r="L111" i="10"/>
  <c r="L110" i="10"/>
  <c r="L109" i="10"/>
  <c r="L108" i="10"/>
  <c r="L107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4" i="10"/>
  <c r="L43" i="10"/>
  <c r="L42" i="10"/>
  <c r="L41" i="10"/>
  <c r="L40" i="10"/>
  <c r="L39" i="10"/>
  <c r="L36" i="10"/>
  <c r="L35" i="10"/>
  <c r="L34" i="10"/>
  <c r="L33" i="10"/>
  <c r="L32" i="10"/>
  <c r="L31" i="10"/>
  <c r="L30" i="10"/>
  <c r="L29" i="10"/>
  <c r="L28" i="10"/>
  <c r="L26" i="10"/>
  <c r="L25" i="10"/>
  <c r="L18" i="10"/>
  <c r="L17" i="10"/>
  <c r="L16" i="10"/>
  <c r="L15" i="10"/>
  <c r="L14" i="10"/>
  <c r="L13" i="10"/>
  <c r="L12" i="10"/>
  <c r="L11" i="10"/>
  <c r="L57" i="9" l="1"/>
  <c r="L31" i="9"/>
  <c r="L30" i="9"/>
  <c r="L29" i="9"/>
  <c r="L28" i="9"/>
  <c r="L27" i="9"/>
  <c r="L26" i="9"/>
  <c r="L25" i="9"/>
  <c r="C142" i="10" l="1"/>
  <c r="C131" i="10"/>
  <c r="M123" i="10"/>
  <c r="C133" i="10" s="1"/>
  <c r="K123" i="10"/>
  <c r="J123" i="10"/>
  <c r="I123" i="10"/>
  <c r="H123" i="10"/>
  <c r="G123" i="10"/>
  <c r="F123" i="10"/>
  <c r="E123" i="10"/>
  <c r="D123" i="10"/>
  <c r="C123" i="10"/>
  <c r="N121" i="10"/>
  <c r="N119" i="10"/>
  <c r="N118" i="10"/>
  <c r="N117" i="10"/>
  <c r="N114" i="10"/>
  <c r="N113" i="10"/>
  <c r="N112" i="10"/>
  <c r="N111" i="10"/>
  <c r="N110" i="10"/>
  <c r="N109" i="10"/>
  <c r="N108" i="10"/>
  <c r="N107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M20" i="10"/>
  <c r="C132" i="10" s="1"/>
  <c r="K20" i="10"/>
  <c r="J20" i="10"/>
  <c r="I20" i="10"/>
  <c r="H20" i="10"/>
  <c r="G20" i="10"/>
  <c r="F20" i="10"/>
  <c r="E20" i="10"/>
  <c r="D20" i="10"/>
  <c r="C19" i="10"/>
  <c r="N18" i="10"/>
  <c r="N17" i="10"/>
  <c r="N16" i="10"/>
  <c r="N15" i="10"/>
  <c r="N14" i="10"/>
  <c r="N13" i="10"/>
  <c r="N12" i="10"/>
  <c r="N11" i="10"/>
  <c r="C10" i="10"/>
  <c r="L10" i="10" s="1"/>
  <c r="L19" i="10" l="1"/>
  <c r="N19" i="10" s="1"/>
  <c r="O19" i="10"/>
  <c r="O59" i="10"/>
  <c r="O61" i="10"/>
  <c r="O27" i="10"/>
  <c r="O43" i="10"/>
  <c r="O45" i="10"/>
  <c r="O54" i="10"/>
  <c r="O25" i="10"/>
  <c r="O36" i="10"/>
  <c r="O70" i="10"/>
  <c r="O72" i="10"/>
  <c r="O84" i="10"/>
  <c r="O86" i="10"/>
  <c r="O98" i="10"/>
  <c r="O110" i="10"/>
  <c r="O32" i="10"/>
  <c r="O34" i="10"/>
  <c r="O41" i="10"/>
  <c r="O50" i="10"/>
  <c r="O52" i="10"/>
  <c r="O57" i="10"/>
  <c r="O66" i="10"/>
  <c r="O68" i="10"/>
  <c r="O82" i="10"/>
  <c r="O97" i="10"/>
  <c r="O104" i="10"/>
  <c r="O108" i="10"/>
  <c r="O30" i="10"/>
  <c r="O48" i="10"/>
  <c r="O64" i="10"/>
  <c r="O81" i="10"/>
  <c r="O92" i="10"/>
  <c r="O29" i="10"/>
  <c r="O47" i="10"/>
  <c r="O63" i="10"/>
  <c r="O76" i="10"/>
  <c r="O88" i="10"/>
  <c r="O90" i="10"/>
  <c r="O100" i="10"/>
  <c r="O102" i="10"/>
  <c r="O118" i="10"/>
  <c r="O120" i="10"/>
  <c r="O31" i="10"/>
  <c r="O33" i="10"/>
  <c r="O40" i="10"/>
  <c r="O42" i="10"/>
  <c r="O49" i="10"/>
  <c r="O51" i="10"/>
  <c r="O56" i="10"/>
  <c r="O58" i="10"/>
  <c r="O65" i="10"/>
  <c r="O67" i="10"/>
  <c r="O75" i="10"/>
  <c r="O77" i="10"/>
  <c r="O79" i="10"/>
  <c r="O83" i="10"/>
  <c r="O85" i="10"/>
  <c r="O91" i="10"/>
  <c r="O93" i="10"/>
  <c r="O95" i="10"/>
  <c r="O99" i="10"/>
  <c r="O101" i="10"/>
  <c r="O109" i="10"/>
  <c r="O111" i="10"/>
  <c r="C134" i="10"/>
  <c r="O26" i="10"/>
  <c r="O28" i="10"/>
  <c r="O35" i="10"/>
  <c r="O39" i="10"/>
  <c r="O44" i="10"/>
  <c r="O46" i="10"/>
  <c r="O53" i="10"/>
  <c r="O55" i="10"/>
  <c r="O60" i="10"/>
  <c r="O62" i="10"/>
  <c r="O121" i="10"/>
  <c r="O69" i="10"/>
  <c r="O71" i="10"/>
  <c r="O78" i="10"/>
  <c r="O80" i="10"/>
  <c r="O87" i="10"/>
  <c r="O89" i="10"/>
  <c r="O94" i="10"/>
  <c r="O96" i="10"/>
  <c r="O103" i="10"/>
  <c r="O107" i="10"/>
  <c r="O112" i="10"/>
  <c r="O117" i="10"/>
  <c r="O119" i="10"/>
  <c r="O15" i="10"/>
  <c r="O17" i="10"/>
  <c r="O11" i="10"/>
  <c r="O13" i="10"/>
  <c r="O12" i="10"/>
  <c r="O14" i="10"/>
  <c r="O10" i="10"/>
  <c r="O16" i="10"/>
  <c r="O18" i="10"/>
  <c r="N123" i="10"/>
  <c r="N10" i="10"/>
  <c r="L20" i="10"/>
  <c r="L123" i="10"/>
  <c r="C20" i="10"/>
  <c r="K123" i="9"/>
  <c r="J123" i="9"/>
  <c r="K20" i="9"/>
  <c r="J20" i="9"/>
  <c r="N20" i="10" l="1"/>
  <c r="C145" i="10"/>
  <c r="C146" i="10" s="1"/>
  <c r="C142" i="9"/>
  <c r="C131" i="9"/>
  <c r="M123" i="9"/>
  <c r="C133" i="9" s="1"/>
  <c r="I123" i="9"/>
  <c r="H123" i="9"/>
  <c r="G123" i="9"/>
  <c r="F123" i="9"/>
  <c r="E123" i="9"/>
  <c r="D123" i="9"/>
  <c r="C123" i="9"/>
  <c r="L121" i="9"/>
  <c r="N121" i="9" s="1"/>
  <c r="L120" i="9"/>
  <c r="L119" i="9"/>
  <c r="N119" i="9" s="1"/>
  <c r="N118" i="9"/>
  <c r="L118" i="9"/>
  <c r="L117" i="9"/>
  <c r="N117" i="9" s="1"/>
  <c r="L114" i="9"/>
  <c r="N114" i="9" s="1"/>
  <c r="L113" i="9"/>
  <c r="N113" i="9" s="1"/>
  <c r="L112" i="9"/>
  <c r="N112" i="9" s="1"/>
  <c r="L111" i="9"/>
  <c r="N111" i="9" s="1"/>
  <c r="L110" i="9"/>
  <c r="N110" i="9" s="1"/>
  <c r="L109" i="9"/>
  <c r="N109" i="9" s="1"/>
  <c r="L108" i="9"/>
  <c r="N108" i="9" s="1"/>
  <c r="L107" i="9"/>
  <c r="N107" i="9" s="1"/>
  <c r="L104" i="9"/>
  <c r="N104" i="9" s="1"/>
  <c r="L103" i="9"/>
  <c r="N103" i="9" s="1"/>
  <c r="L102" i="9"/>
  <c r="N102" i="9" s="1"/>
  <c r="L101" i="9"/>
  <c r="N101" i="9" s="1"/>
  <c r="L100" i="9"/>
  <c r="N100" i="9" s="1"/>
  <c r="L99" i="9"/>
  <c r="N99" i="9" s="1"/>
  <c r="L98" i="9"/>
  <c r="N98" i="9" s="1"/>
  <c r="L97" i="9"/>
  <c r="N97" i="9" s="1"/>
  <c r="L96" i="9"/>
  <c r="N96" i="9" s="1"/>
  <c r="L95" i="9"/>
  <c r="N95" i="9" s="1"/>
  <c r="L94" i="9"/>
  <c r="N94" i="9" s="1"/>
  <c r="L93" i="9"/>
  <c r="N93" i="9" s="1"/>
  <c r="L92" i="9"/>
  <c r="N92" i="9" s="1"/>
  <c r="L91" i="9"/>
  <c r="N91" i="9" s="1"/>
  <c r="L90" i="9"/>
  <c r="N90" i="9" s="1"/>
  <c r="L89" i="9"/>
  <c r="N89" i="9" s="1"/>
  <c r="L88" i="9"/>
  <c r="N88" i="9" s="1"/>
  <c r="L87" i="9"/>
  <c r="N87" i="9" s="1"/>
  <c r="L86" i="9"/>
  <c r="N86" i="9" s="1"/>
  <c r="L85" i="9"/>
  <c r="N85" i="9" s="1"/>
  <c r="L84" i="9"/>
  <c r="N84" i="9" s="1"/>
  <c r="L83" i="9"/>
  <c r="N83" i="9" s="1"/>
  <c r="L82" i="9"/>
  <c r="N82" i="9" s="1"/>
  <c r="L81" i="9"/>
  <c r="N81" i="9" s="1"/>
  <c r="L80" i="9"/>
  <c r="N80" i="9" s="1"/>
  <c r="L79" i="9"/>
  <c r="N79" i="9" s="1"/>
  <c r="L78" i="9"/>
  <c r="N78" i="9" s="1"/>
  <c r="L77" i="9"/>
  <c r="N77" i="9" s="1"/>
  <c r="L76" i="9"/>
  <c r="N76" i="9" s="1"/>
  <c r="L75" i="9"/>
  <c r="N75" i="9" s="1"/>
  <c r="L72" i="9"/>
  <c r="N72" i="9" s="1"/>
  <c r="L71" i="9"/>
  <c r="N71" i="9" s="1"/>
  <c r="L70" i="9"/>
  <c r="N70" i="9" s="1"/>
  <c r="L69" i="9"/>
  <c r="N69" i="9" s="1"/>
  <c r="L68" i="9"/>
  <c r="N68" i="9" s="1"/>
  <c r="L67" i="9"/>
  <c r="N67" i="9" s="1"/>
  <c r="L66" i="9"/>
  <c r="N66" i="9" s="1"/>
  <c r="L65" i="9"/>
  <c r="N65" i="9" s="1"/>
  <c r="L64" i="9"/>
  <c r="N64" i="9" s="1"/>
  <c r="L63" i="9"/>
  <c r="N63" i="9" s="1"/>
  <c r="L62" i="9"/>
  <c r="N62" i="9" s="1"/>
  <c r="L61" i="9"/>
  <c r="N61" i="9" s="1"/>
  <c r="L60" i="9"/>
  <c r="N60" i="9" s="1"/>
  <c r="L59" i="9"/>
  <c r="N59" i="9" s="1"/>
  <c r="L58" i="9"/>
  <c r="N58" i="9" s="1"/>
  <c r="N57" i="9"/>
  <c r="L56" i="9"/>
  <c r="N56" i="9" s="1"/>
  <c r="L55" i="9"/>
  <c r="N55" i="9" s="1"/>
  <c r="L54" i="9"/>
  <c r="N54" i="9" s="1"/>
  <c r="L53" i="9"/>
  <c r="N53" i="9" s="1"/>
  <c r="L52" i="9"/>
  <c r="N52" i="9" s="1"/>
  <c r="L51" i="9"/>
  <c r="N51" i="9" s="1"/>
  <c r="L50" i="9"/>
  <c r="N50" i="9" s="1"/>
  <c r="L49" i="9"/>
  <c r="N49" i="9" s="1"/>
  <c r="L48" i="9"/>
  <c r="N48" i="9" s="1"/>
  <c r="L47" i="9"/>
  <c r="N47" i="9" s="1"/>
  <c r="L46" i="9"/>
  <c r="N46" i="9" s="1"/>
  <c r="L45" i="9"/>
  <c r="N45" i="9" s="1"/>
  <c r="L44" i="9"/>
  <c r="N44" i="9" s="1"/>
  <c r="L43" i="9"/>
  <c r="N43" i="9" s="1"/>
  <c r="L42" i="9"/>
  <c r="N42" i="9" s="1"/>
  <c r="L41" i="9"/>
  <c r="N41" i="9" s="1"/>
  <c r="L40" i="9"/>
  <c r="N40" i="9" s="1"/>
  <c r="L39" i="9"/>
  <c r="N39" i="9" s="1"/>
  <c r="L36" i="9"/>
  <c r="N36" i="9" s="1"/>
  <c r="L35" i="9"/>
  <c r="N35" i="9" s="1"/>
  <c r="L34" i="9"/>
  <c r="N34" i="9" s="1"/>
  <c r="L33" i="9"/>
  <c r="L123" i="9" s="1"/>
  <c r="L32" i="9"/>
  <c r="N32" i="9" s="1"/>
  <c r="N31" i="9"/>
  <c r="N30" i="9"/>
  <c r="N29" i="9"/>
  <c r="N28" i="9"/>
  <c r="N27" i="9"/>
  <c r="N26" i="9"/>
  <c r="N25" i="9"/>
  <c r="M20" i="9"/>
  <c r="O19" i="9" s="1"/>
  <c r="I20" i="9"/>
  <c r="H20" i="9"/>
  <c r="G20" i="9"/>
  <c r="F20" i="9"/>
  <c r="E20" i="9"/>
  <c r="D20" i="9"/>
  <c r="C19" i="9"/>
  <c r="L19" i="9" s="1"/>
  <c r="N19" i="9" s="1"/>
  <c r="L18" i="9"/>
  <c r="N18" i="9" s="1"/>
  <c r="N17" i="9"/>
  <c r="L17" i="9"/>
  <c r="N16" i="9"/>
  <c r="L16" i="9"/>
  <c r="L15" i="9"/>
  <c r="N15" i="9" s="1"/>
  <c r="L14" i="9"/>
  <c r="N14" i="9" s="1"/>
  <c r="N13" i="9"/>
  <c r="L13" i="9"/>
  <c r="N12" i="9"/>
  <c r="L12" i="9"/>
  <c r="L11" i="9"/>
  <c r="N11" i="9" s="1"/>
  <c r="C10" i="9"/>
  <c r="L10" i="9" s="1"/>
  <c r="N33" i="9" l="1"/>
  <c r="O39" i="9"/>
  <c r="O32" i="9"/>
  <c r="O41" i="9"/>
  <c r="O61" i="9"/>
  <c r="O44" i="9"/>
  <c r="O28" i="9"/>
  <c r="O40" i="9"/>
  <c r="O43" i="9"/>
  <c r="O26" i="9"/>
  <c r="O29" i="9"/>
  <c r="O31" i="9"/>
  <c r="O34" i="9"/>
  <c r="O52" i="9"/>
  <c r="O59" i="9"/>
  <c r="O121" i="9"/>
  <c r="O25" i="9"/>
  <c r="O27" i="9"/>
  <c r="O30" i="9"/>
  <c r="O33" i="9"/>
  <c r="O35" i="9"/>
  <c r="O42" i="9"/>
  <c r="O45" i="9"/>
  <c r="O48" i="9"/>
  <c r="O55" i="9"/>
  <c r="O57" i="9"/>
  <c r="O64" i="9"/>
  <c r="O71" i="9"/>
  <c r="O47" i="9"/>
  <c r="O49" i="9"/>
  <c r="O56" i="9"/>
  <c r="O63" i="9"/>
  <c r="O111" i="9"/>
  <c r="O36" i="9"/>
  <c r="O46" i="9"/>
  <c r="O51" i="9"/>
  <c r="O53" i="9"/>
  <c r="O60" i="9"/>
  <c r="O77" i="9"/>
  <c r="O90" i="9"/>
  <c r="O103" i="9"/>
  <c r="O67" i="9"/>
  <c r="O69" i="9"/>
  <c r="O79" i="9"/>
  <c r="O85" i="9"/>
  <c r="O98" i="9"/>
  <c r="O68" i="9"/>
  <c r="O82" i="9"/>
  <c r="O95" i="9"/>
  <c r="O101" i="9"/>
  <c r="O119" i="9"/>
  <c r="O65" i="9"/>
  <c r="O72" i="9"/>
  <c r="O87" i="9"/>
  <c r="O93" i="9"/>
  <c r="O108" i="9"/>
  <c r="O54" i="9"/>
  <c r="O62" i="9"/>
  <c r="O70" i="9"/>
  <c r="O80" i="9"/>
  <c r="O88" i="9"/>
  <c r="O96" i="9"/>
  <c r="O104" i="9"/>
  <c r="O117" i="9"/>
  <c r="O50" i="9"/>
  <c r="O58" i="9"/>
  <c r="O66" i="9"/>
  <c r="O76" i="9"/>
  <c r="O84" i="9"/>
  <c r="O92" i="9"/>
  <c r="O100" i="9"/>
  <c r="O110" i="9"/>
  <c r="O75" i="9"/>
  <c r="O78" i="9"/>
  <c r="O81" i="9"/>
  <c r="O83" i="9"/>
  <c r="O86" i="9"/>
  <c r="O89" i="9"/>
  <c r="O91" i="9"/>
  <c r="O94" i="9"/>
  <c r="O97" i="9"/>
  <c r="O99" i="9"/>
  <c r="O102" i="9"/>
  <c r="O107" i="9"/>
  <c r="O109" i="9"/>
  <c r="O112" i="9"/>
  <c r="O118" i="9"/>
  <c r="O120" i="9"/>
  <c r="O17" i="9"/>
  <c r="O13" i="9"/>
  <c r="L20" i="9"/>
  <c r="N10" i="9"/>
  <c r="N20" i="9" s="1"/>
  <c r="N123" i="9"/>
  <c r="C20" i="9"/>
  <c r="O11" i="9"/>
  <c r="O15" i="9"/>
  <c r="C132" i="9"/>
  <c r="C134" i="9" s="1"/>
  <c r="C145" i="9" s="1"/>
  <c r="C146" i="9" s="1"/>
  <c r="O12" i="9"/>
  <c r="O16" i="9"/>
  <c r="O10" i="9"/>
  <c r="O14" i="9"/>
  <c r="O18" i="9"/>
  <c r="C142" i="8"/>
  <c r="C131" i="8"/>
  <c r="K123" i="8"/>
  <c r="C133" i="8" s="1"/>
  <c r="I123" i="8"/>
  <c r="H123" i="8"/>
  <c r="G123" i="8"/>
  <c r="F123" i="8"/>
  <c r="E123" i="8"/>
  <c r="D123" i="8"/>
  <c r="C123" i="8"/>
  <c r="M121" i="8"/>
  <c r="J121" i="8"/>
  <c r="L121" i="8" s="1"/>
  <c r="J120" i="8"/>
  <c r="L120" i="8" s="1"/>
  <c r="J119" i="8"/>
  <c r="L119" i="8" s="1"/>
  <c r="J118" i="8"/>
  <c r="L118" i="8" s="1"/>
  <c r="J117" i="8"/>
  <c r="L117" i="8" s="1"/>
  <c r="J114" i="8"/>
  <c r="L114" i="8" s="1"/>
  <c r="J113" i="8"/>
  <c r="L113" i="8" s="1"/>
  <c r="J112" i="8"/>
  <c r="L112" i="8" s="1"/>
  <c r="J111" i="8"/>
  <c r="L111" i="8" s="1"/>
  <c r="J110" i="8"/>
  <c r="L110" i="8" s="1"/>
  <c r="J109" i="8"/>
  <c r="L109" i="8" s="1"/>
  <c r="J108" i="8"/>
  <c r="L108" i="8" s="1"/>
  <c r="J107" i="8"/>
  <c r="L107" i="8" s="1"/>
  <c r="J104" i="8"/>
  <c r="L104" i="8" s="1"/>
  <c r="M103" i="8"/>
  <c r="J103" i="8"/>
  <c r="L103" i="8" s="1"/>
  <c r="J102" i="8"/>
  <c r="L102" i="8" s="1"/>
  <c r="J101" i="8"/>
  <c r="L101" i="8" s="1"/>
  <c r="J100" i="8"/>
  <c r="L100" i="8" s="1"/>
  <c r="J99" i="8"/>
  <c r="L99" i="8" s="1"/>
  <c r="J98" i="8"/>
  <c r="L98" i="8" s="1"/>
  <c r="J97" i="8"/>
  <c r="L97" i="8" s="1"/>
  <c r="J96" i="8"/>
  <c r="L96" i="8" s="1"/>
  <c r="J95" i="8"/>
  <c r="L95" i="8" s="1"/>
  <c r="J94" i="8"/>
  <c r="L94" i="8" s="1"/>
  <c r="J93" i="8"/>
  <c r="L93" i="8" s="1"/>
  <c r="J92" i="8"/>
  <c r="L92" i="8" s="1"/>
  <c r="J91" i="8"/>
  <c r="L91" i="8" s="1"/>
  <c r="J90" i="8"/>
  <c r="L90" i="8" s="1"/>
  <c r="L89" i="8"/>
  <c r="J89" i="8"/>
  <c r="J88" i="8"/>
  <c r="L88" i="8" s="1"/>
  <c r="J87" i="8"/>
  <c r="L87" i="8" s="1"/>
  <c r="J86" i="8"/>
  <c r="L86" i="8" s="1"/>
  <c r="J85" i="8"/>
  <c r="L85" i="8" s="1"/>
  <c r="J84" i="8"/>
  <c r="L84" i="8" s="1"/>
  <c r="J83" i="8"/>
  <c r="L83" i="8" s="1"/>
  <c r="J82" i="8"/>
  <c r="L82" i="8" s="1"/>
  <c r="J81" i="8"/>
  <c r="L81" i="8" s="1"/>
  <c r="J80" i="8"/>
  <c r="L80" i="8" s="1"/>
  <c r="J79" i="8"/>
  <c r="L79" i="8" s="1"/>
  <c r="J78" i="8"/>
  <c r="L78" i="8" s="1"/>
  <c r="J77" i="8"/>
  <c r="L77" i="8" s="1"/>
  <c r="J76" i="8"/>
  <c r="L76" i="8" s="1"/>
  <c r="J75" i="8"/>
  <c r="L75" i="8" s="1"/>
  <c r="J72" i="8"/>
  <c r="L72" i="8" s="1"/>
  <c r="J71" i="8"/>
  <c r="L71" i="8" s="1"/>
  <c r="J70" i="8"/>
  <c r="L70" i="8" s="1"/>
  <c r="J69" i="8"/>
  <c r="L69" i="8" s="1"/>
  <c r="J68" i="8"/>
  <c r="L68" i="8" s="1"/>
  <c r="J67" i="8"/>
  <c r="L67" i="8" s="1"/>
  <c r="J66" i="8"/>
  <c r="L66" i="8" s="1"/>
  <c r="J65" i="8"/>
  <c r="L65" i="8" s="1"/>
  <c r="J64" i="8"/>
  <c r="L64" i="8" s="1"/>
  <c r="J63" i="8"/>
  <c r="L63" i="8" s="1"/>
  <c r="J62" i="8"/>
  <c r="L62" i="8" s="1"/>
  <c r="L61" i="8"/>
  <c r="J61" i="8"/>
  <c r="J60" i="8"/>
  <c r="L60" i="8" s="1"/>
  <c r="J59" i="8"/>
  <c r="L59" i="8" s="1"/>
  <c r="J58" i="8"/>
  <c r="L58" i="8" s="1"/>
  <c r="J57" i="8"/>
  <c r="L57" i="8" s="1"/>
  <c r="J56" i="8"/>
  <c r="L56" i="8" s="1"/>
  <c r="J55" i="8"/>
  <c r="L55" i="8" s="1"/>
  <c r="J54" i="8"/>
  <c r="L54" i="8" s="1"/>
  <c r="J53" i="8"/>
  <c r="L53" i="8" s="1"/>
  <c r="M52" i="8"/>
  <c r="J52" i="8"/>
  <c r="L52" i="8" s="1"/>
  <c r="J51" i="8"/>
  <c r="L51" i="8" s="1"/>
  <c r="J50" i="8"/>
  <c r="L50" i="8" s="1"/>
  <c r="J49" i="8"/>
  <c r="L49" i="8" s="1"/>
  <c r="J48" i="8"/>
  <c r="L48" i="8" s="1"/>
  <c r="M47" i="8"/>
  <c r="J47" i="8"/>
  <c r="L47" i="8" s="1"/>
  <c r="J46" i="8"/>
  <c r="L46" i="8" s="1"/>
  <c r="M45" i="8"/>
  <c r="J45" i="8"/>
  <c r="L45" i="8" s="1"/>
  <c r="J44" i="8"/>
  <c r="L44" i="8" s="1"/>
  <c r="M43" i="8"/>
  <c r="J43" i="8"/>
  <c r="L43" i="8" s="1"/>
  <c r="M42" i="8"/>
  <c r="J42" i="8"/>
  <c r="L42" i="8" s="1"/>
  <c r="J41" i="8"/>
  <c r="L41" i="8" s="1"/>
  <c r="M40" i="8"/>
  <c r="J40" i="8"/>
  <c r="L40" i="8" s="1"/>
  <c r="J39" i="8"/>
  <c r="L39" i="8" s="1"/>
  <c r="J36" i="8"/>
  <c r="L36" i="8" s="1"/>
  <c r="J35" i="8"/>
  <c r="L35" i="8" s="1"/>
  <c r="J34" i="8"/>
  <c r="L34" i="8" s="1"/>
  <c r="J33" i="8"/>
  <c r="L33" i="8" s="1"/>
  <c r="J32" i="8"/>
  <c r="L32" i="8" s="1"/>
  <c r="J31" i="8"/>
  <c r="L31" i="8" s="1"/>
  <c r="J30" i="8"/>
  <c r="L30" i="8" s="1"/>
  <c r="J29" i="8"/>
  <c r="L29" i="8" s="1"/>
  <c r="J28" i="8"/>
  <c r="L28" i="8" s="1"/>
  <c r="L27" i="8"/>
  <c r="J27" i="8"/>
  <c r="J26" i="8"/>
  <c r="L26" i="8" s="1"/>
  <c r="J25" i="8"/>
  <c r="I20" i="8"/>
  <c r="H20" i="8"/>
  <c r="G20" i="8"/>
  <c r="F20" i="8"/>
  <c r="E20" i="8"/>
  <c r="D20" i="8"/>
  <c r="C19" i="8"/>
  <c r="J19" i="8" s="1"/>
  <c r="L19" i="8" s="1"/>
  <c r="J18" i="8"/>
  <c r="L18" i="8" s="1"/>
  <c r="J17" i="8"/>
  <c r="L17" i="8" s="1"/>
  <c r="J16" i="8"/>
  <c r="L16" i="8" s="1"/>
  <c r="J15" i="8"/>
  <c r="L15" i="8" s="1"/>
  <c r="J14" i="8"/>
  <c r="L14" i="8" s="1"/>
  <c r="J13" i="8"/>
  <c r="L13" i="8" s="1"/>
  <c r="J12" i="8"/>
  <c r="L12" i="8" s="1"/>
  <c r="K20" i="8"/>
  <c r="J11" i="8"/>
  <c r="L11" i="8" s="1"/>
  <c r="C10" i="8"/>
  <c r="C20" i="8" l="1"/>
  <c r="M72" i="8"/>
  <c r="M112" i="8"/>
  <c r="M118" i="8"/>
  <c r="J123" i="8"/>
  <c r="L25" i="8"/>
  <c r="M76" i="8"/>
  <c r="M77" i="8"/>
  <c r="M79" i="8"/>
  <c r="M81" i="8"/>
  <c r="M86" i="8"/>
  <c r="M25" i="8"/>
  <c r="M27" i="8"/>
  <c r="M29" i="8"/>
  <c r="M34" i="8"/>
  <c r="M59" i="8"/>
  <c r="M61" i="8"/>
  <c r="M63" i="8"/>
  <c r="M68" i="8"/>
  <c r="M95" i="8"/>
  <c r="M97" i="8"/>
  <c r="M99" i="8"/>
  <c r="M56" i="8"/>
  <c r="M58" i="8"/>
  <c r="M90" i="8"/>
  <c r="M92" i="8"/>
  <c r="M94" i="8"/>
  <c r="M26" i="8"/>
  <c r="M33" i="8"/>
  <c r="M44" i="8"/>
  <c r="M51" i="8"/>
  <c r="M60" i="8"/>
  <c r="M67" i="8"/>
  <c r="M78" i="8"/>
  <c r="M85" i="8"/>
  <c r="M96" i="8"/>
  <c r="M104" i="8"/>
  <c r="M30" i="8"/>
  <c r="M32" i="8"/>
  <c r="M35" i="8"/>
  <c r="M39" i="8"/>
  <c r="M48" i="8"/>
  <c r="M50" i="8"/>
  <c r="M53" i="8"/>
  <c r="M55" i="8"/>
  <c r="M64" i="8"/>
  <c r="M66" i="8"/>
  <c r="M69" i="8"/>
  <c r="M71" i="8"/>
  <c r="M82" i="8"/>
  <c r="M84" i="8"/>
  <c r="M87" i="8"/>
  <c r="M89" i="8"/>
  <c r="M28" i="8"/>
  <c r="M31" i="8"/>
  <c r="M36" i="8"/>
  <c r="M41" i="8"/>
  <c r="M46" i="8"/>
  <c r="M49" i="8"/>
  <c r="M54" i="8"/>
  <c r="M57" i="8"/>
  <c r="M62" i="8"/>
  <c r="M65" i="8"/>
  <c r="M70" i="8"/>
  <c r="M75" i="8"/>
  <c r="M80" i="8"/>
  <c r="M83" i="8"/>
  <c r="M88" i="8"/>
  <c r="M91" i="8"/>
  <c r="M100" i="8"/>
  <c r="M102" i="8"/>
  <c r="M107" i="8"/>
  <c r="M109" i="8"/>
  <c r="M111" i="8"/>
  <c r="M93" i="8"/>
  <c r="M98" i="8"/>
  <c r="M101" i="8"/>
  <c r="M108" i="8"/>
  <c r="M120" i="8"/>
  <c r="M110" i="8"/>
  <c r="M117" i="8"/>
  <c r="M119" i="8"/>
  <c r="M17" i="8"/>
  <c r="M16" i="8"/>
  <c r="M19" i="8"/>
  <c r="M18" i="8"/>
  <c r="M15" i="8"/>
  <c r="M13" i="8"/>
  <c r="C132" i="8"/>
  <c r="C134" i="8" s="1"/>
  <c r="C145" i="8" s="1"/>
  <c r="C146" i="8" s="1"/>
  <c r="M12" i="8"/>
  <c r="M11" i="8"/>
  <c r="M10" i="8"/>
  <c r="M14" i="8"/>
  <c r="L123" i="8"/>
  <c r="J10" i="8"/>
  <c r="I20" i="6"/>
  <c r="H20" i="6"/>
  <c r="G20" i="6"/>
  <c r="F20" i="6"/>
  <c r="D20" i="6"/>
  <c r="E20" i="6"/>
  <c r="I123" i="7"/>
  <c r="H123" i="7"/>
  <c r="I20" i="7"/>
  <c r="H20" i="7"/>
  <c r="J20" i="8" l="1"/>
  <c r="L10" i="8"/>
  <c r="L20" i="8" s="1"/>
  <c r="C139" i="7" l="1"/>
  <c r="K17" i="7" l="1"/>
  <c r="K15" i="7"/>
  <c r="K14" i="7"/>
  <c r="K12" i="7"/>
  <c r="K11" i="7"/>
  <c r="C141" i="7"/>
  <c r="C131" i="7"/>
  <c r="G123" i="7"/>
  <c r="F123" i="7"/>
  <c r="E123" i="7"/>
  <c r="D123" i="7"/>
  <c r="C123" i="7"/>
  <c r="J121" i="7"/>
  <c r="L121" i="7" s="1"/>
  <c r="J120" i="7"/>
  <c r="L120" i="7" s="1"/>
  <c r="J119" i="7"/>
  <c r="L119" i="7" s="1"/>
  <c r="J118" i="7"/>
  <c r="L118" i="7" s="1"/>
  <c r="J117" i="7"/>
  <c r="L117" i="7" s="1"/>
  <c r="J114" i="7"/>
  <c r="L114" i="7" s="1"/>
  <c r="J113" i="7"/>
  <c r="L113" i="7" s="1"/>
  <c r="J112" i="7"/>
  <c r="L112" i="7" s="1"/>
  <c r="J111" i="7"/>
  <c r="L111" i="7" s="1"/>
  <c r="J110" i="7"/>
  <c r="L110" i="7" s="1"/>
  <c r="J109" i="7"/>
  <c r="L109" i="7" s="1"/>
  <c r="J108" i="7"/>
  <c r="L108" i="7" s="1"/>
  <c r="J107" i="7"/>
  <c r="L107" i="7" s="1"/>
  <c r="J104" i="7"/>
  <c r="L104" i="7" s="1"/>
  <c r="J103" i="7"/>
  <c r="L103" i="7" s="1"/>
  <c r="J102" i="7"/>
  <c r="L102" i="7" s="1"/>
  <c r="J101" i="7"/>
  <c r="L101" i="7" s="1"/>
  <c r="J100" i="7"/>
  <c r="L100" i="7" s="1"/>
  <c r="J99" i="7"/>
  <c r="L99" i="7" s="1"/>
  <c r="J98" i="7"/>
  <c r="L98" i="7" s="1"/>
  <c r="J97" i="7"/>
  <c r="L97" i="7" s="1"/>
  <c r="J96" i="7"/>
  <c r="L96" i="7" s="1"/>
  <c r="J95" i="7"/>
  <c r="L95" i="7" s="1"/>
  <c r="J94" i="7"/>
  <c r="L94" i="7" s="1"/>
  <c r="J93" i="7"/>
  <c r="L93" i="7" s="1"/>
  <c r="J92" i="7"/>
  <c r="L92" i="7" s="1"/>
  <c r="J91" i="7"/>
  <c r="L91" i="7" s="1"/>
  <c r="J90" i="7"/>
  <c r="L90" i="7" s="1"/>
  <c r="J89" i="7"/>
  <c r="L89" i="7" s="1"/>
  <c r="J88" i="7"/>
  <c r="L88" i="7" s="1"/>
  <c r="J87" i="7"/>
  <c r="L87" i="7" s="1"/>
  <c r="J86" i="7"/>
  <c r="L86" i="7" s="1"/>
  <c r="J85" i="7"/>
  <c r="L85" i="7" s="1"/>
  <c r="J84" i="7"/>
  <c r="L84" i="7" s="1"/>
  <c r="J83" i="7"/>
  <c r="L83" i="7" s="1"/>
  <c r="J82" i="7"/>
  <c r="L82" i="7" s="1"/>
  <c r="J81" i="7"/>
  <c r="L81" i="7" s="1"/>
  <c r="J80" i="7"/>
  <c r="L80" i="7" s="1"/>
  <c r="J79" i="7"/>
  <c r="L79" i="7" s="1"/>
  <c r="J78" i="7"/>
  <c r="L78" i="7" s="1"/>
  <c r="J77" i="7"/>
  <c r="L77" i="7" s="1"/>
  <c r="J76" i="7"/>
  <c r="L76" i="7" s="1"/>
  <c r="J75" i="7"/>
  <c r="L75" i="7" s="1"/>
  <c r="J72" i="7"/>
  <c r="L72" i="7" s="1"/>
  <c r="J71" i="7"/>
  <c r="L71" i="7" s="1"/>
  <c r="J70" i="7"/>
  <c r="L70" i="7" s="1"/>
  <c r="J69" i="7"/>
  <c r="L69" i="7" s="1"/>
  <c r="J68" i="7"/>
  <c r="L68" i="7" s="1"/>
  <c r="J67" i="7"/>
  <c r="L67" i="7" s="1"/>
  <c r="J66" i="7"/>
  <c r="L66" i="7" s="1"/>
  <c r="J65" i="7"/>
  <c r="L65" i="7" s="1"/>
  <c r="J64" i="7"/>
  <c r="L64" i="7" s="1"/>
  <c r="J63" i="7"/>
  <c r="L63" i="7" s="1"/>
  <c r="J62" i="7"/>
  <c r="L62" i="7" s="1"/>
  <c r="J61" i="7"/>
  <c r="L61" i="7" s="1"/>
  <c r="J60" i="7"/>
  <c r="L60" i="7" s="1"/>
  <c r="J59" i="7"/>
  <c r="L59" i="7" s="1"/>
  <c r="J58" i="7"/>
  <c r="L58" i="7" s="1"/>
  <c r="J57" i="7"/>
  <c r="L57" i="7" s="1"/>
  <c r="J56" i="7"/>
  <c r="L56" i="7" s="1"/>
  <c r="J55" i="7"/>
  <c r="L55" i="7" s="1"/>
  <c r="J54" i="7"/>
  <c r="L54" i="7" s="1"/>
  <c r="J53" i="7"/>
  <c r="L53" i="7" s="1"/>
  <c r="J52" i="7"/>
  <c r="L52" i="7" s="1"/>
  <c r="J51" i="7"/>
  <c r="L51" i="7" s="1"/>
  <c r="K123" i="7"/>
  <c r="M95" i="7" s="1"/>
  <c r="J50" i="7"/>
  <c r="L50" i="7" s="1"/>
  <c r="J49" i="7"/>
  <c r="L49" i="7" s="1"/>
  <c r="J48" i="7"/>
  <c r="L48" i="7" s="1"/>
  <c r="J47" i="7"/>
  <c r="L47" i="7" s="1"/>
  <c r="J46" i="7"/>
  <c r="L46" i="7" s="1"/>
  <c r="J45" i="7"/>
  <c r="L45" i="7" s="1"/>
  <c r="J44" i="7"/>
  <c r="L44" i="7" s="1"/>
  <c r="J43" i="7"/>
  <c r="L43" i="7" s="1"/>
  <c r="J42" i="7"/>
  <c r="L42" i="7" s="1"/>
  <c r="J41" i="7"/>
  <c r="L41" i="7" s="1"/>
  <c r="J40" i="7"/>
  <c r="L40" i="7" s="1"/>
  <c r="J39" i="7"/>
  <c r="L39" i="7" s="1"/>
  <c r="J36" i="7"/>
  <c r="L36" i="7" s="1"/>
  <c r="J35" i="7"/>
  <c r="L35" i="7" s="1"/>
  <c r="J34" i="7"/>
  <c r="L34" i="7" s="1"/>
  <c r="J33" i="7"/>
  <c r="L33" i="7" s="1"/>
  <c r="J32" i="7"/>
  <c r="L32" i="7" s="1"/>
  <c r="J31" i="7"/>
  <c r="L31" i="7" s="1"/>
  <c r="J30" i="7"/>
  <c r="L30" i="7" s="1"/>
  <c r="J29" i="7"/>
  <c r="L29" i="7" s="1"/>
  <c r="J28" i="7"/>
  <c r="L28" i="7" s="1"/>
  <c r="J27" i="7"/>
  <c r="L27" i="7" s="1"/>
  <c r="J26" i="7"/>
  <c r="L26" i="7" s="1"/>
  <c r="J25" i="7"/>
  <c r="L25" i="7" s="1"/>
  <c r="G20" i="7"/>
  <c r="F20" i="7"/>
  <c r="E20" i="7"/>
  <c r="D20" i="7"/>
  <c r="C19" i="7"/>
  <c r="J19" i="7" s="1"/>
  <c r="L19" i="7" s="1"/>
  <c r="J18" i="7"/>
  <c r="L18" i="7" s="1"/>
  <c r="J17" i="7"/>
  <c r="J16" i="7"/>
  <c r="L16" i="7" s="1"/>
  <c r="J15" i="7"/>
  <c r="J14" i="7"/>
  <c r="J13" i="7"/>
  <c r="L13" i="7" s="1"/>
  <c r="J12" i="7"/>
  <c r="L12" i="7" s="1"/>
  <c r="J11" i="7"/>
  <c r="C10" i="7"/>
  <c r="L17" i="7" l="1"/>
  <c r="M44" i="7"/>
  <c r="M75" i="7"/>
  <c r="M34" i="7"/>
  <c r="M57" i="7"/>
  <c r="M91" i="7"/>
  <c r="M65" i="7"/>
  <c r="M99" i="7"/>
  <c r="M26" i="7"/>
  <c r="M83" i="7"/>
  <c r="L123" i="7"/>
  <c r="M30" i="7"/>
  <c r="M40" i="7"/>
  <c r="M48" i="7"/>
  <c r="M53" i="7"/>
  <c r="M61" i="7"/>
  <c r="M69" i="7"/>
  <c r="M79" i="7"/>
  <c r="M87" i="7"/>
  <c r="L11" i="7"/>
  <c r="L14" i="7"/>
  <c r="J10" i="7"/>
  <c r="C20" i="7"/>
  <c r="L15" i="7"/>
  <c r="J123" i="7"/>
  <c r="C133" i="7"/>
  <c r="M118" i="7"/>
  <c r="M110" i="7"/>
  <c r="M104" i="7"/>
  <c r="M100" i="7"/>
  <c r="M96" i="7"/>
  <c r="M92" i="7"/>
  <c r="M88" i="7"/>
  <c r="M84" i="7"/>
  <c r="M80" i="7"/>
  <c r="M76" i="7"/>
  <c r="M70" i="7"/>
  <c r="M66" i="7"/>
  <c r="M62" i="7"/>
  <c r="M58" i="7"/>
  <c r="M54" i="7"/>
  <c r="M49" i="7"/>
  <c r="M45" i="7"/>
  <c r="M41" i="7"/>
  <c r="M35" i="7"/>
  <c r="M31" i="7"/>
  <c r="M27" i="7"/>
  <c r="M108" i="7"/>
  <c r="M102" i="7"/>
  <c r="M94" i="7"/>
  <c r="M86" i="7"/>
  <c r="M78" i="7"/>
  <c r="M68" i="7"/>
  <c r="M64" i="7"/>
  <c r="M56" i="7"/>
  <c r="M47" i="7"/>
  <c r="M29" i="7"/>
  <c r="M121" i="7"/>
  <c r="M109" i="7"/>
  <c r="M119" i="7"/>
  <c r="M111" i="7"/>
  <c r="M107" i="7"/>
  <c r="M101" i="7"/>
  <c r="M97" i="7"/>
  <c r="M93" i="7"/>
  <c r="M89" i="7"/>
  <c r="M85" i="7"/>
  <c r="M81" i="7"/>
  <c r="M77" i="7"/>
  <c r="M71" i="7"/>
  <c r="M67" i="7"/>
  <c r="M63" i="7"/>
  <c r="M59" i="7"/>
  <c r="M55" i="7"/>
  <c r="M51" i="7"/>
  <c r="M46" i="7"/>
  <c r="M42" i="7"/>
  <c r="M36" i="7"/>
  <c r="M32" i="7"/>
  <c r="M28" i="7"/>
  <c r="M120" i="7"/>
  <c r="M112" i="7"/>
  <c r="M98" i="7"/>
  <c r="M90" i="7"/>
  <c r="M82" i="7"/>
  <c r="M72" i="7"/>
  <c r="M60" i="7"/>
  <c r="M52" i="7"/>
  <c r="M43" i="7"/>
  <c r="M39" i="7"/>
  <c r="M33" i="7"/>
  <c r="M25" i="7"/>
  <c r="M117" i="7"/>
  <c r="M103" i="7"/>
  <c r="K20" i="7"/>
  <c r="M50" i="7"/>
  <c r="K50" i="6"/>
  <c r="K17" i="6"/>
  <c r="K15" i="6"/>
  <c r="K14" i="6"/>
  <c r="K12" i="6"/>
  <c r="K11" i="6"/>
  <c r="G123" i="6"/>
  <c r="F123" i="6"/>
  <c r="M10" i="7" l="1"/>
  <c r="M17" i="7"/>
  <c r="M16" i="7"/>
  <c r="C132" i="7"/>
  <c r="C134" i="7" s="1"/>
  <c r="C144" i="7" s="1"/>
  <c r="C145" i="7" s="1"/>
  <c r="M13" i="7"/>
  <c r="M19" i="7"/>
  <c r="M18" i="7"/>
  <c r="M15" i="7"/>
  <c r="M14" i="7"/>
  <c r="M11" i="7"/>
  <c r="L10" i="7"/>
  <c r="L20" i="7" s="1"/>
  <c r="J20" i="7"/>
  <c r="M12" i="7"/>
  <c r="C141" i="6"/>
  <c r="C131" i="6"/>
  <c r="K123" i="6"/>
  <c r="C133" i="6" s="1"/>
  <c r="E123" i="6"/>
  <c r="D123" i="6"/>
  <c r="C123" i="6"/>
  <c r="J121" i="6"/>
  <c r="L121" i="6" s="1"/>
  <c r="J120" i="6"/>
  <c r="L120" i="6" s="1"/>
  <c r="J119" i="6"/>
  <c r="L119" i="6" s="1"/>
  <c r="J118" i="6"/>
  <c r="L118" i="6" s="1"/>
  <c r="J117" i="6"/>
  <c r="L117" i="6" s="1"/>
  <c r="J114" i="6"/>
  <c r="L114" i="6" s="1"/>
  <c r="J113" i="6"/>
  <c r="L113" i="6" s="1"/>
  <c r="J112" i="6"/>
  <c r="L112" i="6" s="1"/>
  <c r="J111" i="6"/>
  <c r="L111" i="6" s="1"/>
  <c r="J110" i="6"/>
  <c r="L110" i="6" s="1"/>
  <c r="J109" i="6"/>
  <c r="L109" i="6" s="1"/>
  <c r="J108" i="6"/>
  <c r="L108" i="6" s="1"/>
  <c r="J107" i="6"/>
  <c r="L107" i="6" s="1"/>
  <c r="J104" i="6"/>
  <c r="L104" i="6" s="1"/>
  <c r="J103" i="6"/>
  <c r="L103" i="6" s="1"/>
  <c r="J102" i="6"/>
  <c r="L102" i="6" s="1"/>
  <c r="J101" i="6"/>
  <c r="L101" i="6" s="1"/>
  <c r="J100" i="6"/>
  <c r="L100" i="6" s="1"/>
  <c r="J99" i="6"/>
  <c r="L99" i="6" s="1"/>
  <c r="J98" i="6"/>
  <c r="L98" i="6" s="1"/>
  <c r="J97" i="6"/>
  <c r="L97" i="6" s="1"/>
  <c r="J96" i="6"/>
  <c r="L96" i="6" s="1"/>
  <c r="J95" i="6"/>
  <c r="L95" i="6" s="1"/>
  <c r="J94" i="6"/>
  <c r="L94" i="6" s="1"/>
  <c r="J93" i="6"/>
  <c r="L93" i="6" s="1"/>
  <c r="J92" i="6"/>
  <c r="L92" i="6" s="1"/>
  <c r="J91" i="6"/>
  <c r="L91" i="6" s="1"/>
  <c r="J90" i="6"/>
  <c r="L90" i="6" s="1"/>
  <c r="J89" i="6"/>
  <c r="L89" i="6" s="1"/>
  <c r="J88" i="6"/>
  <c r="L88" i="6" s="1"/>
  <c r="J87" i="6"/>
  <c r="L87" i="6" s="1"/>
  <c r="J86" i="6"/>
  <c r="L86" i="6" s="1"/>
  <c r="J85" i="6"/>
  <c r="L85" i="6" s="1"/>
  <c r="J84" i="6"/>
  <c r="L84" i="6" s="1"/>
  <c r="J83" i="6"/>
  <c r="L83" i="6" s="1"/>
  <c r="J82" i="6"/>
  <c r="L82" i="6" s="1"/>
  <c r="J81" i="6"/>
  <c r="L81" i="6" s="1"/>
  <c r="J80" i="6"/>
  <c r="L80" i="6" s="1"/>
  <c r="J79" i="6"/>
  <c r="L79" i="6" s="1"/>
  <c r="J78" i="6"/>
  <c r="L78" i="6" s="1"/>
  <c r="J77" i="6"/>
  <c r="L77" i="6" s="1"/>
  <c r="J76" i="6"/>
  <c r="L76" i="6" s="1"/>
  <c r="J75" i="6"/>
  <c r="L75" i="6" s="1"/>
  <c r="J72" i="6"/>
  <c r="L72" i="6" s="1"/>
  <c r="J71" i="6"/>
  <c r="L71" i="6" s="1"/>
  <c r="J70" i="6"/>
  <c r="L70" i="6" s="1"/>
  <c r="J69" i="6"/>
  <c r="L69" i="6" s="1"/>
  <c r="J68" i="6"/>
  <c r="L68" i="6" s="1"/>
  <c r="J67" i="6"/>
  <c r="L67" i="6" s="1"/>
  <c r="J66" i="6"/>
  <c r="L66" i="6" s="1"/>
  <c r="J65" i="6"/>
  <c r="L65" i="6" s="1"/>
  <c r="J64" i="6"/>
  <c r="L64" i="6" s="1"/>
  <c r="J63" i="6"/>
  <c r="L63" i="6" s="1"/>
  <c r="J62" i="6"/>
  <c r="L62" i="6" s="1"/>
  <c r="J61" i="6"/>
  <c r="L61" i="6" s="1"/>
  <c r="J60" i="6"/>
  <c r="L60" i="6" s="1"/>
  <c r="J59" i="6"/>
  <c r="L59" i="6" s="1"/>
  <c r="J58" i="6"/>
  <c r="L58" i="6" s="1"/>
  <c r="J57" i="6"/>
  <c r="L57" i="6" s="1"/>
  <c r="J56" i="6"/>
  <c r="L56" i="6" s="1"/>
  <c r="J55" i="6"/>
  <c r="L55" i="6" s="1"/>
  <c r="J54" i="6"/>
  <c r="L54" i="6" s="1"/>
  <c r="J53" i="6"/>
  <c r="L53" i="6" s="1"/>
  <c r="J52" i="6"/>
  <c r="L52" i="6" s="1"/>
  <c r="J51" i="6"/>
  <c r="L51" i="6" s="1"/>
  <c r="J50" i="6"/>
  <c r="L50" i="6" s="1"/>
  <c r="J49" i="6"/>
  <c r="L49" i="6" s="1"/>
  <c r="J48" i="6"/>
  <c r="L48" i="6" s="1"/>
  <c r="J47" i="6"/>
  <c r="L47" i="6" s="1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L26" i="6" s="1"/>
  <c r="J25" i="6"/>
  <c r="L25" i="6" s="1"/>
  <c r="C19" i="6"/>
  <c r="J18" i="6"/>
  <c r="L18" i="6" s="1"/>
  <c r="J17" i="6"/>
  <c r="J16" i="6"/>
  <c r="L16" i="6" s="1"/>
  <c r="J15" i="6"/>
  <c r="J14" i="6"/>
  <c r="J13" i="6"/>
  <c r="L13" i="6" s="1"/>
  <c r="J12" i="6"/>
  <c r="J11" i="6"/>
  <c r="C10" i="6"/>
  <c r="J10" i="6" s="1"/>
  <c r="M54" i="6" l="1"/>
  <c r="M44" i="6"/>
  <c r="M36" i="6"/>
  <c r="M75" i="6"/>
  <c r="M94" i="6"/>
  <c r="M26" i="6"/>
  <c r="M60" i="6"/>
  <c r="M63" i="6"/>
  <c r="M34" i="6"/>
  <c r="M52" i="6"/>
  <c r="M71" i="6"/>
  <c r="M112" i="6"/>
  <c r="M28" i="6"/>
  <c r="M46" i="6"/>
  <c r="M65" i="6"/>
  <c r="M32" i="6"/>
  <c r="M42" i="6"/>
  <c r="M50" i="6"/>
  <c r="M58" i="6"/>
  <c r="M69" i="6"/>
  <c r="M79" i="6"/>
  <c r="M89" i="6"/>
  <c r="M92" i="6"/>
  <c r="M107" i="6"/>
  <c r="M110" i="6"/>
  <c r="M117" i="6"/>
  <c r="M30" i="6"/>
  <c r="M40" i="6"/>
  <c r="M48" i="6"/>
  <c r="M56" i="6"/>
  <c r="M67" i="6"/>
  <c r="M77" i="6"/>
  <c r="M87" i="6"/>
  <c r="M103" i="6"/>
  <c r="M121" i="6"/>
  <c r="M62" i="6"/>
  <c r="M64" i="6"/>
  <c r="M66" i="6"/>
  <c r="M68" i="6"/>
  <c r="M70" i="6"/>
  <c r="M72" i="6"/>
  <c r="M76" i="6"/>
  <c r="M78" i="6"/>
  <c r="M82" i="6"/>
  <c r="M85" i="6"/>
  <c r="M98" i="6"/>
  <c r="M101" i="6"/>
  <c r="M25" i="6"/>
  <c r="M27" i="6"/>
  <c r="M29" i="6"/>
  <c r="M31" i="6"/>
  <c r="M33" i="6"/>
  <c r="M35" i="6"/>
  <c r="M39" i="6"/>
  <c r="M41" i="6"/>
  <c r="M43" i="6"/>
  <c r="M45" i="6"/>
  <c r="M47" i="6"/>
  <c r="M49" i="6"/>
  <c r="M51" i="6"/>
  <c r="M53" i="6"/>
  <c r="M55" i="6"/>
  <c r="M57" i="6"/>
  <c r="M59" i="6"/>
  <c r="M61" i="6"/>
  <c r="M80" i="6"/>
  <c r="M91" i="6"/>
  <c r="M96" i="6"/>
  <c r="M109" i="6"/>
  <c r="L15" i="6"/>
  <c r="M119" i="6"/>
  <c r="L14" i="6"/>
  <c r="C20" i="6"/>
  <c r="M84" i="6"/>
  <c r="M86" i="6"/>
  <c r="M93" i="6"/>
  <c r="M95" i="6"/>
  <c r="M100" i="6"/>
  <c r="M102" i="6"/>
  <c r="M111" i="6"/>
  <c r="L12" i="6"/>
  <c r="L17" i="6"/>
  <c r="M81" i="6"/>
  <c r="M83" i="6"/>
  <c r="M88" i="6"/>
  <c r="M90" i="6"/>
  <c r="M97" i="6"/>
  <c r="M99" i="6"/>
  <c r="M104" i="6"/>
  <c r="M108" i="6"/>
  <c r="M118" i="6"/>
  <c r="M120" i="6"/>
  <c r="L123" i="6"/>
  <c r="L11" i="6"/>
  <c r="J19" i="6"/>
  <c r="L19" i="6" s="1"/>
  <c r="J123" i="6"/>
  <c r="K20" i="6"/>
  <c r="L10" i="6"/>
  <c r="C143" i="5"/>
  <c r="M19" i="6" l="1"/>
  <c r="M18" i="6"/>
  <c r="M14" i="6"/>
  <c r="M17" i="6"/>
  <c r="C132" i="6"/>
  <c r="C134" i="6" s="1"/>
  <c r="C144" i="6" s="1"/>
  <c r="C145" i="6" s="1"/>
  <c r="M10" i="6"/>
  <c r="M15" i="6"/>
  <c r="M13" i="6"/>
  <c r="M16" i="6"/>
  <c r="M11" i="6"/>
  <c r="M12" i="6"/>
  <c r="L20" i="6"/>
  <c r="J20" i="6"/>
  <c r="C145" i="5"/>
  <c r="K17" i="5" l="1"/>
  <c r="K15" i="5"/>
  <c r="K14" i="5"/>
  <c r="K12" i="5"/>
  <c r="K11" i="5"/>
  <c r="C131" i="5" l="1"/>
  <c r="K20" i="5"/>
  <c r="K123" i="5" l="1"/>
  <c r="C133" i="5" s="1"/>
  <c r="E123" i="5"/>
  <c r="D123" i="5"/>
  <c r="C123" i="5"/>
  <c r="J121" i="5"/>
  <c r="L121" i="5" s="1"/>
  <c r="J120" i="5"/>
  <c r="L120" i="5" s="1"/>
  <c r="J119" i="5"/>
  <c r="L119" i="5" s="1"/>
  <c r="J118" i="5"/>
  <c r="L118" i="5" s="1"/>
  <c r="J117" i="5"/>
  <c r="L117" i="5" s="1"/>
  <c r="J114" i="5"/>
  <c r="L114" i="5" s="1"/>
  <c r="J113" i="5"/>
  <c r="L113" i="5" s="1"/>
  <c r="J112" i="5"/>
  <c r="L112" i="5" s="1"/>
  <c r="J111" i="5"/>
  <c r="L111" i="5" s="1"/>
  <c r="J110" i="5"/>
  <c r="L110" i="5" s="1"/>
  <c r="J109" i="5"/>
  <c r="L109" i="5" s="1"/>
  <c r="J108" i="5"/>
  <c r="L108" i="5" s="1"/>
  <c r="J107" i="5"/>
  <c r="L107" i="5" s="1"/>
  <c r="J104" i="5"/>
  <c r="L104" i="5" s="1"/>
  <c r="J103" i="5"/>
  <c r="L103" i="5" s="1"/>
  <c r="J102" i="5"/>
  <c r="L102" i="5" s="1"/>
  <c r="J101" i="5"/>
  <c r="L101" i="5" s="1"/>
  <c r="J100" i="5"/>
  <c r="L100" i="5" s="1"/>
  <c r="J99" i="5"/>
  <c r="L99" i="5" s="1"/>
  <c r="J98" i="5"/>
  <c r="L98" i="5" s="1"/>
  <c r="J97" i="5"/>
  <c r="L97" i="5" s="1"/>
  <c r="J96" i="5"/>
  <c r="L96" i="5" s="1"/>
  <c r="J95" i="5"/>
  <c r="L95" i="5" s="1"/>
  <c r="J94" i="5"/>
  <c r="L94" i="5" s="1"/>
  <c r="J93" i="5"/>
  <c r="L93" i="5" s="1"/>
  <c r="J92" i="5"/>
  <c r="L92" i="5" s="1"/>
  <c r="J91" i="5"/>
  <c r="L91" i="5" s="1"/>
  <c r="J90" i="5"/>
  <c r="L90" i="5" s="1"/>
  <c r="J89" i="5"/>
  <c r="L89" i="5" s="1"/>
  <c r="J88" i="5"/>
  <c r="L88" i="5" s="1"/>
  <c r="J87" i="5"/>
  <c r="L87" i="5" s="1"/>
  <c r="J86" i="5"/>
  <c r="L86" i="5" s="1"/>
  <c r="J85" i="5"/>
  <c r="L85" i="5" s="1"/>
  <c r="J84" i="5"/>
  <c r="L84" i="5" s="1"/>
  <c r="J83" i="5"/>
  <c r="L83" i="5" s="1"/>
  <c r="J82" i="5"/>
  <c r="L82" i="5" s="1"/>
  <c r="J81" i="5"/>
  <c r="L81" i="5" s="1"/>
  <c r="J80" i="5"/>
  <c r="L80" i="5" s="1"/>
  <c r="J79" i="5"/>
  <c r="L79" i="5" s="1"/>
  <c r="J78" i="5"/>
  <c r="L78" i="5" s="1"/>
  <c r="J77" i="5"/>
  <c r="L77" i="5" s="1"/>
  <c r="J76" i="5"/>
  <c r="L76" i="5" s="1"/>
  <c r="J75" i="5"/>
  <c r="L75" i="5" s="1"/>
  <c r="J72" i="5"/>
  <c r="L72" i="5" s="1"/>
  <c r="J71" i="5"/>
  <c r="L71" i="5" s="1"/>
  <c r="J70" i="5"/>
  <c r="L70" i="5" s="1"/>
  <c r="M69" i="5"/>
  <c r="J69" i="5"/>
  <c r="L69" i="5" s="1"/>
  <c r="J68" i="5"/>
  <c r="L68" i="5" s="1"/>
  <c r="J67" i="5"/>
  <c r="L67" i="5" s="1"/>
  <c r="J66" i="5"/>
  <c r="L66" i="5" s="1"/>
  <c r="J65" i="5"/>
  <c r="L65" i="5" s="1"/>
  <c r="J64" i="5"/>
  <c r="L64" i="5" s="1"/>
  <c r="J63" i="5"/>
  <c r="L63" i="5" s="1"/>
  <c r="J62" i="5"/>
  <c r="L62" i="5" s="1"/>
  <c r="J61" i="5"/>
  <c r="L61" i="5" s="1"/>
  <c r="J60" i="5"/>
  <c r="L60" i="5" s="1"/>
  <c r="J59" i="5"/>
  <c r="L59" i="5" s="1"/>
  <c r="J58" i="5"/>
  <c r="L58" i="5" s="1"/>
  <c r="J57" i="5"/>
  <c r="L57" i="5" s="1"/>
  <c r="J56" i="5"/>
  <c r="L56" i="5" s="1"/>
  <c r="J55" i="5"/>
  <c r="L55" i="5" s="1"/>
  <c r="J54" i="5"/>
  <c r="L54" i="5" s="1"/>
  <c r="J53" i="5"/>
  <c r="L53" i="5" s="1"/>
  <c r="J52" i="5"/>
  <c r="L52" i="5" s="1"/>
  <c r="J51" i="5"/>
  <c r="L51" i="5" s="1"/>
  <c r="J50" i="5"/>
  <c r="L50" i="5" s="1"/>
  <c r="J49" i="5"/>
  <c r="L49" i="5" s="1"/>
  <c r="J48" i="5"/>
  <c r="L48" i="5" s="1"/>
  <c r="J47" i="5"/>
  <c r="L47" i="5" s="1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I20" i="5"/>
  <c r="H20" i="5"/>
  <c r="G20" i="5"/>
  <c r="F20" i="5"/>
  <c r="E20" i="5"/>
  <c r="D20" i="5"/>
  <c r="C19" i="5"/>
  <c r="J19" i="5" s="1"/>
  <c r="L19" i="5" s="1"/>
  <c r="J18" i="5"/>
  <c r="L18" i="5" s="1"/>
  <c r="J17" i="5"/>
  <c r="L17" i="5" s="1"/>
  <c r="J16" i="5"/>
  <c r="L16" i="5" s="1"/>
  <c r="L15" i="5"/>
  <c r="J15" i="5"/>
  <c r="J14" i="5"/>
  <c r="L14" i="5" s="1"/>
  <c r="J13" i="5"/>
  <c r="L13" i="5" s="1"/>
  <c r="J12" i="5"/>
  <c r="J11" i="5"/>
  <c r="C10" i="5"/>
  <c r="J10" i="5" s="1"/>
  <c r="J20" i="5" l="1"/>
  <c r="M71" i="5"/>
  <c r="L123" i="5"/>
  <c r="M94" i="5"/>
  <c r="M103" i="5"/>
  <c r="M42" i="5"/>
  <c r="M48" i="5"/>
  <c r="M41" i="5"/>
  <c r="M58" i="5"/>
  <c r="M64" i="5"/>
  <c r="M87" i="5"/>
  <c r="M35" i="5"/>
  <c r="M39" i="5"/>
  <c r="M57" i="5"/>
  <c r="M76" i="5"/>
  <c r="M82" i="5"/>
  <c r="M30" i="5"/>
  <c r="M53" i="5"/>
  <c r="M55" i="5"/>
  <c r="M75" i="5"/>
  <c r="M112" i="5"/>
  <c r="M117" i="5"/>
  <c r="M110" i="5"/>
  <c r="M92" i="5"/>
  <c r="M26" i="5"/>
  <c r="M28" i="5"/>
  <c r="M33" i="5"/>
  <c r="M44" i="5"/>
  <c r="M46" i="5"/>
  <c r="M51" i="5"/>
  <c r="M60" i="5"/>
  <c r="M62" i="5"/>
  <c r="M67" i="5"/>
  <c r="M78" i="5"/>
  <c r="M80" i="5"/>
  <c r="M85" i="5"/>
  <c r="M101" i="5"/>
  <c r="M89" i="5"/>
  <c r="M91" i="5"/>
  <c r="M96" i="5"/>
  <c r="M98" i="5"/>
  <c r="M107" i="5"/>
  <c r="M109" i="5"/>
  <c r="M119" i="5"/>
  <c r="M121" i="5"/>
  <c r="M32" i="5"/>
  <c r="M34" i="5"/>
  <c r="M43" i="5"/>
  <c r="M45" i="5"/>
  <c r="M50" i="5"/>
  <c r="M52" i="5"/>
  <c r="M59" i="5"/>
  <c r="M61" i="5"/>
  <c r="M66" i="5"/>
  <c r="M68" i="5"/>
  <c r="M77" i="5"/>
  <c r="M79" i="5"/>
  <c r="M84" i="5"/>
  <c r="M86" i="5"/>
  <c r="M93" i="5"/>
  <c r="M95" i="5"/>
  <c r="M100" i="5"/>
  <c r="M102" i="5"/>
  <c r="M111" i="5"/>
  <c r="M25" i="5"/>
  <c r="M27" i="5"/>
  <c r="M29" i="5"/>
  <c r="M31" i="5"/>
  <c r="M36" i="5"/>
  <c r="M40" i="5"/>
  <c r="M47" i="5"/>
  <c r="M49" i="5"/>
  <c r="M54" i="5"/>
  <c r="M56" i="5"/>
  <c r="M63" i="5"/>
  <c r="M65" i="5"/>
  <c r="M70" i="5"/>
  <c r="M72" i="5"/>
  <c r="M81" i="5"/>
  <c r="M83" i="5"/>
  <c r="M88" i="5"/>
  <c r="M90" i="5"/>
  <c r="M97" i="5"/>
  <c r="M99" i="5"/>
  <c r="M104" i="5"/>
  <c r="M108" i="5"/>
  <c r="M118" i="5"/>
  <c r="M120" i="5"/>
  <c r="M11" i="5"/>
  <c r="L12" i="5"/>
  <c r="L11" i="5"/>
  <c r="L10" i="5"/>
  <c r="C20" i="5"/>
  <c r="J123" i="5"/>
  <c r="C131" i="4"/>
  <c r="L20" i="5" l="1"/>
  <c r="M19" i="5"/>
  <c r="M18" i="5"/>
  <c r="C132" i="5"/>
  <c r="C134" i="5" s="1"/>
  <c r="C148" i="5" s="1"/>
  <c r="M10" i="5"/>
  <c r="M15" i="5"/>
  <c r="M16" i="5"/>
  <c r="M17" i="5"/>
  <c r="M14" i="5"/>
  <c r="M13" i="5"/>
  <c r="M12" i="5"/>
  <c r="E123" i="4"/>
  <c r="D123" i="4"/>
  <c r="K15" i="4"/>
  <c r="K14" i="4"/>
  <c r="K12" i="4"/>
  <c r="K11" i="4"/>
  <c r="J97" i="4"/>
  <c r="L97" i="4" s="1"/>
  <c r="J93" i="4"/>
  <c r="L93" i="4" s="1"/>
  <c r="J92" i="4"/>
  <c r="L92" i="4" s="1"/>
  <c r="E20" i="4"/>
  <c r="D20" i="4"/>
  <c r="C143" i="4" l="1"/>
  <c r="K123" i="4"/>
  <c r="M97" i="4" s="1"/>
  <c r="C123" i="4"/>
  <c r="J121" i="4"/>
  <c r="L121" i="4" s="1"/>
  <c r="J120" i="4"/>
  <c r="L120" i="4" s="1"/>
  <c r="J119" i="4"/>
  <c r="L119" i="4" s="1"/>
  <c r="J118" i="4"/>
  <c r="L118" i="4" s="1"/>
  <c r="J117" i="4"/>
  <c r="L117" i="4" s="1"/>
  <c r="J114" i="4"/>
  <c r="L114" i="4" s="1"/>
  <c r="J113" i="4"/>
  <c r="L113" i="4" s="1"/>
  <c r="J112" i="4"/>
  <c r="L112" i="4" s="1"/>
  <c r="J111" i="4"/>
  <c r="L111" i="4" s="1"/>
  <c r="J110" i="4"/>
  <c r="L110" i="4" s="1"/>
  <c r="J109" i="4"/>
  <c r="L109" i="4" s="1"/>
  <c r="J108" i="4"/>
  <c r="L108" i="4" s="1"/>
  <c r="J107" i="4"/>
  <c r="L107" i="4" s="1"/>
  <c r="J104" i="4"/>
  <c r="L104" i="4" s="1"/>
  <c r="J103" i="4"/>
  <c r="L103" i="4" s="1"/>
  <c r="J102" i="4"/>
  <c r="L102" i="4" s="1"/>
  <c r="J101" i="4"/>
  <c r="L101" i="4" s="1"/>
  <c r="J100" i="4"/>
  <c r="L100" i="4" s="1"/>
  <c r="J99" i="4"/>
  <c r="L99" i="4" s="1"/>
  <c r="J98" i="4"/>
  <c r="L98" i="4" s="1"/>
  <c r="J96" i="4"/>
  <c r="L96" i="4" s="1"/>
  <c r="J95" i="4"/>
  <c r="L95" i="4" s="1"/>
  <c r="J94" i="4"/>
  <c r="L94" i="4" s="1"/>
  <c r="J91" i="4"/>
  <c r="L91" i="4" s="1"/>
  <c r="J90" i="4"/>
  <c r="L90" i="4" s="1"/>
  <c r="J89" i="4"/>
  <c r="L89" i="4" s="1"/>
  <c r="J88" i="4"/>
  <c r="L88" i="4" s="1"/>
  <c r="J87" i="4"/>
  <c r="L87" i="4" s="1"/>
  <c r="J86" i="4"/>
  <c r="L86" i="4" s="1"/>
  <c r="J85" i="4"/>
  <c r="L85" i="4" s="1"/>
  <c r="J84" i="4"/>
  <c r="L84" i="4" s="1"/>
  <c r="J83" i="4"/>
  <c r="L83" i="4" s="1"/>
  <c r="J82" i="4"/>
  <c r="L82" i="4" s="1"/>
  <c r="J81" i="4"/>
  <c r="L81" i="4" s="1"/>
  <c r="J80" i="4"/>
  <c r="L80" i="4" s="1"/>
  <c r="J79" i="4"/>
  <c r="L79" i="4" s="1"/>
  <c r="J78" i="4"/>
  <c r="L78" i="4" s="1"/>
  <c r="J77" i="4"/>
  <c r="L77" i="4" s="1"/>
  <c r="J76" i="4"/>
  <c r="L76" i="4" s="1"/>
  <c r="J75" i="4"/>
  <c r="L75" i="4" s="1"/>
  <c r="J72" i="4"/>
  <c r="L72" i="4" s="1"/>
  <c r="J71" i="4"/>
  <c r="L71" i="4" s="1"/>
  <c r="J70" i="4"/>
  <c r="L70" i="4" s="1"/>
  <c r="J69" i="4"/>
  <c r="L69" i="4" s="1"/>
  <c r="J68" i="4"/>
  <c r="L68" i="4" s="1"/>
  <c r="J67" i="4"/>
  <c r="L67" i="4" s="1"/>
  <c r="J66" i="4"/>
  <c r="L66" i="4" s="1"/>
  <c r="J65" i="4"/>
  <c r="L65" i="4" s="1"/>
  <c r="J64" i="4"/>
  <c r="L64" i="4" s="1"/>
  <c r="J63" i="4"/>
  <c r="L63" i="4" s="1"/>
  <c r="J62" i="4"/>
  <c r="L62" i="4" s="1"/>
  <c r="J61" i="4"/>
  <c r="L61" i="4" s="1"/>
  <c r="J60" i="4"/>
  <c r="L60" i="4" s="1"/>
  <c r="J59" i="4"/>
  <c r="L59" i="4" s="1"/>
  <c r="J58" i="4"/>
  <c r="L58" i="4" s="1"/>
  <c r="J57" i="4"/>
  <c r="L57" i="4" s="1"/>
  <c r="J56" i="4"/>
  <c r="L56" i="4" s="1"/>
  <c r="J55" i="4"/>
  <c r="L55" i="4" s="1"/>
  <c r="J54" i="4"/>
  <c r="L54" i="4" s="1"/>
  <c r="J53" i="4"/>
  <c r="L53" i="4" s="1"/>
  <c r="J52" i="4"/>
  <c r="L52" i="4" s="1"/>
  <c r="J51" i="4"/>
  <c r="L51" i="4" s="1"/>
  <c r="J50" i="4"/>
  <c r="L50" i="4" s="1"/>
  <c r="J49" i="4"/>
  <c r="L49" i="4" s="1"/>
  <c r="J48" i="4"/>
  <c r="L48" i="4" s="1"/>
  <c r="J47" i="4"/>
  <c r="L47" i="4" s="1"/>
  <c r="J46" i="4"/>
  <c r="L46" i="4" s="1"/>
  <c r="J45" i="4"/>
  <c r="L45" i="4" s="1"/>
  <c r="J44" i="4"/>
  <c r="L44" i="4" s="1"/>
  <c r="J43" i="4"/>
  <c r="L43" i="4" s="1"/>
  <c r="J42" i="4"/>
  <c r="L42" i="4" s="1"/>
  <c r="J41" i="4"/>
  <c r="L41" i="4" s="1"/>
  <c r="J40" i="4"/>
  <c r="L40" i="4" s="1"/>
  <c r="J39" i="4"/>
  <c r="L39" i="4" s="1"/>
  <c r="J36" i="4"/>
  <c r="L36" i="4" s="1"/>
  <c r="J35" i="4"/>
  <c r="L35" i="4" s="1"/>
  <c r="J34" i="4"/>
  <c r="L34" i="4" s="1"/>
  <c r="J33" i="4"/>
  <c r="L33" i="4" s="1"/>
  <c r="J32" i="4"/>
  <c r="L32" i="4" s="1"/>
  <c r="J31" i="4"/>
  <c r="L31" i="4" s="1"/>
  <c r="J30" i="4"/>
  <c r="L30" i="4" s="1"/>
  <c r="J29" i="4"/>
  <c r="L29" i="4" s="1"/>
  <c r="J28" i="4"/>
  <c r="L28" i="4" s="1"/>
  <c r="J27" i="4"/>
  <c r="L27" i="4" s="1"/>
  <c r="J26" i="4"/>
  <c r="L26" i="4" s="1"/>
  <c r="J25" i="4"/>
  <c r="I20" i="4"/>
  <c r="H20" i="4"/>
  <c r="G20" i="4"/>
  <c r="F20" i="4"/>
  <c r="C19" i="4"/>
  <c r="J19" i="4" s="1"/>
  <c r="L19" i="4" s="1"/>
  <c r="J18" i="4"/>
  <c r="L18" i="4" s="1"/>
  <c r="K17" i="4"/>
  <c r="K20" i="4" s="1"/>
  <c r="J17" i="4"/>
  <c r="J16" i="4"/>
  <c r="L16" i="4" s="1"/>
  <c r="J15" i="4"/>
  <c r="J14" i="4"/>
  <c r="L14" i="4" s="1"/>
  <c r="J13" i="4"/>
  <c r="L13" i="4" s="1"/>
  <c r="J12" i="4"/>
  <c r="J11" i="4"/>
  <c r="C10" i="4"/>
  <c r="C20" i="4" l="1"/>
  <c r="M59" i="4"/>
  <c r="M77" i="4"/>
  <c r="M25" i="4"/>
  <c r="M85" i="4"/>
  <c r="M43" i="4"/>
  <c r="M51" i="4"/>
  <c r="M95" i="4"/>
  <c r="M110" i="4"/>
  <c r="M93" i="4"/>
  <c r="M92" i="4"/>
  <c r="M33" i="4"/>
  <c r="M67" i="4"/>
  <c r="M104" i="4"/>
  <c r="J10" i="4"/>
  <c r="L10" i="4" s="1"/>
  <c r="L15" i="4"/>
  <c r="M29" i="4"/>
  <c r="M39" i="4"/>
  <c r="M47" i="4"/>
  <c r="M55" i="4"/>
  <c r="M63" i="4"/>
  <c r="M71" i="4"/>
  <c r="M81" i="4"/>
  <c r="M89" i="4"/>
  <c r="M100" i="4"/>
  <c r="M118" i="4"/>
  <c r="M15" i="4"/>
  <c r="M12" i="4"/>
  <c r="M14" i="4"/>
  <c r="J123" i="4"/>
  <c r="M119" i="4"/>
  <c r="L12" i="4"/>
  <c r="L17" i="4"/>
  <c r="C132" i="4"/>
  <c r="M19" i="4"/>
  <c r="M18" i="4"/>
  <c r="M10" i="4"/>
  <c r="M16" i="4"/>
  <c r="M13" i="4"/>
  <c r="M17" i="4"/>
  <c r="C133" i="4"/>
  <c r="L11" i="4"/>
  <c r="M28" i="4"/>
  <c r="M32" i="4"/>
  <c r="M36" i="4"/>
  <c r="M42" i="4"/>
  <c r="M46" i="4"/>
  <c r="M50" i="4"/>
  <c r="M54" i="4"/>
  <c r="M58" i="4"/>
  <c r="M62" i="4"/>
  <c r="M66" i="4"/>
  <c r="M70" i="4"/>
  <c r="M76" i="4"/>
  <c r="M80" i="4"/>
  <c r="M84" i="4"/>
  <c r="M88" i="4"/>
  <c r="M94" i="4"/>
  <c r="M99" i="4"/>
  <c r="M103" i="4"/>
  <c r="M109" i="4"/>
  <c r="M117" i="4"/>
  <c r="M121" i="4"/>
  <c r="M11" i="4"/>
  <c r="M27" i="4"/>
  <c r="M31" i="4"/>
  <c r="M35" i="4"/>
  <c r="M41" i="4"/>
  <c r="M45" i="4"/>
  <c r="M49" i="4"/>
  <c r="M53" i="4"/>
  <c r="M57" i="4"/>
  <c r="M61" i="4"/>
  <c r="M65" i="4"/>
  <c r="M69" i="4"/>
  <c r="M75" i="4"/>
  <c r="M79" i="4"/>
  <c r="M83" i="4"/>
  <c r="M87" i="4"/>
  <c r="M91" i="4"/>
  <c r="M98" i="4"/>
  <c r="M102" i="4"/>
  <c r="M108" i="4"/>
  <c r="M112" i="4"/>
  <c r="M120" i="4"/>
  <c r="L25" i="4"/>
  <c r="L123" i="4" s="1"/>
  <c r="M26" i="4"/>
  <c r="M30" i="4"/>
  <c r="M34" i="4"/>
  <c r="M40" i="4"/>
  <c r="M44" i="4"/>
  <c r="M48" i="4"/>
  <c r="M52" i="4"/>
  <c r="M56" i="4"/>
  <c r="M60" i="4"/>
  <c r="M64" i="4"/>
  <c r="M68" i="4"/>
  <c r="M72" i="4"/>
  <c r="M78" i="4"/>
  <c r="M82" i="4"/>
  <c r="M86" i="4"/>
  <c r="M90" i="4"/>
  <c r="M96" i="4"/>
  <c r="M101" i="4"/>
  <c r="M107" i="4"/>
  <c r="M111" i="4"/>
  <c r="C140" i="2"/>
  <c r="J20" i="4" l="1"/>
  <c r="C134" i="4"/>
  <c r="C146" i="4" s="1"/>
  <c r="L20" i="4"/>
  <c r="K17" i="2"/>
  <c r="K15" i="2"/>
  <c r="K14" i="2"/>
  <c r="K12" i="2"/>
  <c r="K11" i="2"/>
  <c r="J14" i="2"/>
  <c r="J15" i="2"/>
  <c r="J16" i="2"/>
  <c r="L16" i="2" s="1"/>
  <c r="J17" i="2"/>
  <c r="L17" i="2" s="1"/>
  <c r="J18" i="2"/>
  <c r="L18" i="2" s="1"/>
  <c r="C19" i="2"/>
  <c r="J19" i="2" s="1"/>
  <c r="L19" i="2" s="1"/>
  <c r="C10" i="2"/>
  <c r="J10" i="2" s="1"/>
  <c r="L10" i="2" s="1"/>
  <c r="L14" i="2" l="1"/>
  <c r="C20" i="2"/>
  <c r="L15" i="2"/>
  <c r="C128" i="2"/>
  <c r="K120" i="2"/>
  <c r="C130" i="2" s="1"/>
  <c r="C120" i="2"/>
  <c r="J118" i="2"/>
  <c r="L118" i="2" s="1"/>
  <c r="J117" i="2"/>
  <c r="L117" i="2" s="1"/>
  <c r="J116" i="2"/>
  <c r="L116" i="2" s="1"/>
  <c r="J115" i="2"/>
  <c r="L115" i="2" s="1"/>
  <c r="J114" i="2"/>
  <c r="L114" i="2" s="1"/>
  <c r="J111" i="2"/>
  <c r="L111" i="2" s="1"/>
  <c r="J110" i="2"/>
  <c r="L110" i="2" s="1"/>
  <c r="J109" i="2"/>
  <c r="L109" i="2" s="1"/>
  <c r="J108" i="2"/>
  <c r="L108" i="2" s="1"/>
  <c r="J107" i="2"/>
  <c r="L107" i="2" s="1"/>
  <c r="J106" i="2"/>
  <c r="L106" i="2" s="1"/>
  <c r="L105" i="2"/>
  <c r="J105" i="2"/>
  <c r="J104" i="2"/>
  <c r="L104" i="2" s="1"/>
  <c r="J101" i="2"/>
  <c r="L101" i="2" s="1"/>
  <c r="J100" i="2"/>
  <c r="L100" i="2" s="1"/>
  <c r="J99" i="2"/>
  <c r="L99" i="2" s="1"/>
  <c r="J98" i="2"/>
  <c r="L98" i="2" s="1"/>
  <c r="J97" i="2"/>
  <c r="L97" i="2" s="1"/>
  <c r="J96" i="2"/>
  <c r="L96" i="2" s="1"/>
  <c r="J95" i="2"/>
  <c r="L95" i="2" s="1"/>
  <c r="J94" i="2"/>
  <c r="L94" i="2" s="1"/>
  <c r="L93" i="2"/>
  <c r="J93" i="2"/>
  <c r="J92" i="2"/>
  <c r="L92" i="2" s="1"/>
  <c r="J91" i="2"/>
  <c r="L91" i="2" s="1"/>
  <c r="J90" i="2"/>
  <c r="L90" i="2" s="1"/>
  <c r="J89" i="2"/>
  <c r="L89" i="2" s="1"/>
  <c r="J88" i="2"/>
  <c r="L88" i="2" s="1"/>
  <c r="L87" i="2"/>
  <c r="J87" i="2"/>
  <c r="J86" i="2"/>
  <c r="L86" i="2" s="1"/>
  <c r="J85" i="2"/>
  <c r="L85" i="2" s="1"/>
  <c r="J84" i="2"/>
  <c r="L84" i="2" s="1"/>
  <c r="J83" i="2"/>
  <c r="L83" i="2" s="1"/>
  <c r="J82" i="2"/>
  <c r="L82" i="2" s="1"/>
  <c r="J81" i="2"/>
  <c r="L81" i="2" s="1"/>
  <c r="J80" i="2"/>
  <c r="L80" i="2" s="1"/>
  <c r="J79" i="2"/>
  <c r="L79" i="2" s="1"/>
  <c r="J78" i="2"/>
  <c r="L78" i="2" s="1"/>
  <c r="J77" i="2"/>
  <c r="L77" i="2" s="1"/>
  <c r="J76" i="2"/>
  <c r="L76" i="2" s="1"/>
  <c r="J75" i="2"/>
  <c r="L75" i="2" s="1"/>
  <c r="J72" i="2"/>
  <c r="L72" i="2" s="1"/>
  <c r="J71" i="2"/>
  <c r="L71" i="2" s="1"/>
  <c r="J70" i="2"/>
  <c r="L70" i="2" s="1"/>
  <c r="L69" i="2"/>
  <c r="J69" i="2"/>
  <c r="J68" i="2"/>
  <c r="L68" i="2" s="1"/>
  <c r="J67" i="2"/>
  <c r="L67" i="2" s="1"/>
  <c r="J66" i="2"/>
  <c r="L66" i="2" s="1"/>
  <c r="J65" i="2"/>
  <c r="L65" i="2" s="1"/>
  <c r="J64" i="2"/>
  <c r="L64" i="2" s="1"/>
  <c r="J63" i="2"/>
  <c r="L63" i="2" s="1"/>
  <c r="J62" i="2"/>
  <c r="L62" i="2" s="1"/>
  <c r="J61" i="2"/>
  <c r="L61" i="2" s="1"/>
  <c r="J60" i="2"/>
  <c r="L60" i="2" s="1"/>
  <c r="J59" i="2"/>
  <c r="L59" i="2" s="1"/>
  <c r="J58" i="2"/>
  <c r="L58" i="2" s="1"/>
  <c r="J57" i="2"/>
  <c r="L57" i="2" s="1"/>
  <c r="J56" i="2"/>
  <c r="L56" i="2" s="1"/>
  <c r="J55" i="2"/>
  <c r="L55" i="2" s="1"/>
  <c r="J54" i="2"/>
  <c r="L54" i="2" s="1"/>
  <c r="J53" i="2"/>
  <c r="L53" i="2" s="1"/>
  <c r="J52" i="2"/>
  <c r="L52" i="2" s="1"/>
  <c r="J51" i="2"/>
  <c r="L51" i="2" s="1"/>
  <c r="J50" i="2"/>
  <c r="L50" i="2" s="1"/>
  <c r="J49" i="2"/>
  <c r="L49" i="2" s="1"/>
  <c r="J48" i="2"/>
  <c r="L48" i="2" s="1"/>
  <c r="J47" i="2"/>
  <c r="L47" i="2" s="1"/>
  <c r="J46" i="2"/>
  <c r="L46" i="2" s="1"/>
  <c r="J45" i="2"/>
  <c r="L45" i="2" s="1"/>
  <c r="J44" i="2"/>
  <c r="L44" i="2" s="1"/>
  <c r="J43" i="2"/>
  <c r="L43" i="2" s="1"/>
  <c r="J42" i="2"/>
  <c r="L42" i="2" s="1"/>
  <c r="J41" i="2"/>
  <c r="L41" i="2" s="1"/>
  <c r="J40" i="2"/>
  <c r="L40" i="2" s="1"/>
  <c r="J39" i="2"/>
  <c r="L39" i="2" s="1"/>
  <c r="M36" i="2"/>
  <c r="J36" i="2"/>
  <c r="L36" i="2" s="1"/>
  <c r="J35" i="2"/>
  <c r="L35" i="2" s="1"/>
  <c r="J34" i="2"/>
  <c r="L34" i="2" s="1"/>
  <c r="J33" i="2"/>
  <c r="L33" i="2" s="1"/>
  <c r="J32" i="2"/>
  <c r="L32" i="2" s="1"/>
  <c r="L31" i="2"/>
  <c r="J31" i="2"/>
  <c r="J30" i="2"/>
  <c r="L30" i="2" s="1"/>
  <c r="J29" i="2"/>
  <c r="L29" i="2" s="1"/>
  <c r="J28" i="2"/>
  <c r="L28" i="2" s="1"/>
  <c r="J27" i="2"/>
  <c r="L27" i="2" s="1"/>
  <c r="J26" i="2"/>
  <c r="L26" i="2" s="1"/>
  <c r="J25" i="2"/>
  <c r="L25" i="2" s="1"/>
  <c r="I20" i="2"/>
  <c r="H20" i="2"/>
  <c r="G20" i="2"/>
  <c r="F20" i="2"/>
  <c r="E20" i="2"/>
  <c r="D20" i="2"/>
  <c r="J13" i="2"/>
  <c r="L13" i="2" s="1"/>
  <c r="K20" i="2"/>
  <c r="J12" i="2"/>
  <c r="L12" i="2" s="1"/>
  <c r="J11" i="2"/>
  <c r="M27" i="2" l="1"/>
  <c r="M26" i="2"/>
  <c r="M31" i="2"/>
  <c r="M44" i="2"/>
  <c r="M58" i="2"/>
  <c r="M63" i="2"/>
  <c r="M76" i="2"/>
  <c r="M78" i="2"/>
  <c r="M81" i="2"/>
  <c r="M83" i="2"/>
  <c r="M28" i="2"/>
  <c r="M35" i="2"/>
  <c r="M46" i="2"/>
  <c r="M53" i="2"/>
  <c r="M62" i="2"/>
  <c r="M69" i="2"/>
  <c r="M80" i="2"/>
  <c r="M87" i="2"/>
  <c r="M91" i="2"/>
  <c r="M95" i="2"/>
  <c r="M99" i="2"/>
  <c r="M105" i="2"/>
  <c r="M109" i="2"/>
  <c r="M114" i="2"/>
  <c r="M118" i="2"/>
  <c r="M45" i="2"/>
  <c r="M54" i="2"/>
  <c r="M61" i="2"/>
  <c r="M70" i="2"/>
  <c r="M79" i="2"/>
  <c r="M88" i="2"/>
  <c r="M92" i="2"/>
  <c r="M96" i="2"/>
  <c r="M100" i="2"/>
  <c r="M106" i="2"/>
  <c r="M117" i="2"/>
  <c r="M29" i="2"/>
  <c r="M42" i="2"/>
  <c r="M47" i="2"/>
  <c r="M49" i="2"/>
  <c r="M60" i="2"/>
  <c r="M65" i="2"/>
  <c r="M32" i="2"/>
  <c r="M34" i="2"/>
  <c r="M39" i="2"/>
  <c r="M41" i="2"/>
  <c r="M50" i="2"/>
  <c r="M52" i="2"/>
  <c r="M55" i="2"/>
  <c r="M57" i="2"/>
  <c r="M66" i="2"/>
  <c r="M68" i="2"/>
  <c r="M71" i="2"/>
  <c r="M75" i="2"/>
  <c r="M84" i="2"/>
  <c r="M86" i="2"/>
  <c r="M25" i="2"/>
  <c r="M30" i="2"/>
  <c r="M33" i="2"/>
  <c r="M40" i="2"/>
  <c r="M43" i="2"/>
  <c r="M48" i="2"/>
  <c r="M51" i="2"/>
  <c r="M56" i="2"/>
  <c r="M59" i="2"/>
  <c r="M64" i="2"/>
  <c r="M67" i="2"/>
  <c r="M72" i="2"/>
  <c r="M77" i="2"/>
  <c r="M82" i="2"/>
  <c r="M85" i="2"/>
  <c r="M90" i="2"/>
  <c r="M93" i="2"/>
  <c r="M98" i="2"/>
  <c r="M101" i="2"/>
  <c r="M108" i="2"/>
  <c r="M116" i="2"/>
  <c r="M89" i="2"/>
  <c r="M94" i="2"/>
  <c r="M97" i="2"/>
  <c r="M104" i="2"/>
  <c r="M107" i="2"/>
  <c r="M115" i="2"/>
  <c r="M16" i="2"/>
  <c r="M15" i="2"/>
  <c r="M17" i="2"/>
  <c r="M14" i="2"/>
  <c r="M18" i="2"/>
  <c r="M19" i="2"/>
  <c r="M10" i="2"/>
  <c r="M13" i="2"/>
  <c r="M11" i="2"/>
  <c r="C129" i="2"/>
  <c r="C131" i="2" s="1"/>
  <c r="C143" i="2" s="1"/>
  <c r="L11" i="2"/>
  <c r="L20" i="2" s="1"/>
  <c r="J20" i="2"/>
  <c r="L120" i="2"/>
  <c r="J120" i="2"/>
  <c r="M12" i="2"/>
  <c r="C11" i="1"/>
  <c r="C140" i="1" l="1"/>
  <c r="K12" i="1" l="1"/>
  <c r="K20" i="1" l="1"/>
  <c r="M13" i="1" s="1"/>
  <c r="C128" i="1"/>
  <c r="K120" i="1"/>
  <c r="C130" i="1" s="1"/>
  <c r="J118" i="1"/>
  <c r="J117" i="1"/>
  <c r="J116" i="1"/>
  <c r="L116" i="1" s="1"/>
  <c r="J115" i="1"/>
  <c r="L115" i="1" s="1"/>
  <c r="J114" i="1"/>
  <c r="J111" i="1"/>
  <c r="J110" i="1"/>
  <c r="L110" i="1" s="1"/>
  <c r="J108" i="1"/>
  <c r="L108" i="1" s="1"/>
  <c r="J107" i="1"/>
  <c r="J106" i="1"/>
  <c r="J105" i="1"/>
  <c r="L105" i="1" s="1"/>
  <c r="J104" i="1"/>
  <c r="L104" i="1" s="1"/>
  <c r="C120" i="1"/>
  <c r="J109" i="1"/>
  <c r="L111" i="1"/>
  <c r="L118" i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C18" i="1"/>
  <c r="J18" i="1" s="1"/>
  <c r="J11" i="1"/>
  <c r="L11" i="1" s="1"/>
  <c r="M57" i="1"/>
  <c r="L117" i="1"/>
  <c r="L114" i="1"/>
  <c r="L109" i="1"/>
  <c r="L107" i="1"/>
  <c r="L106" i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I20" i="1"/>
  <c r="H20" i="1"/>
  <c r="G20" i="1"/>
  <c r="F20" i="1"/>
  <c r="E20" i="1"/>
  <c r="D20" i="1"/>
  <c r="M17" i="1"/>
  <c r="M12" i="1"/>
  <c r="M14" i="1"/>
  <c r="M18" i="1"/>
  <c r="M75" i="1" l="1"/>
  <c r="M41" i="1"/>
  <c r="M91" i="1"/>
  <c r="M109" i="1"/>
  <c r="M27" i="1"/>
  <c r="M45" i="1"/>
  <c r="M61" i="1"/>
  <c r="M79" i="1"/>
  <c r="M95" i="1"/>
  <c r="M114" i="1"/>
  <c r="M31" i="1"/>
  <c r="M49" i="1"/>
  <c r="M65" i="1"/>
  <c r="M83" i="1"/>
  <c r="M99" i="1"/>
  <c r="M35" i="1"/>
  <c r="M53" i="1"/>
  <c r="M69" i="1"/>
  <c r="M87" i="1"/>
  <c r="M105" i="1"/>
  <c r="M118" i="1"/>
  <c r="M28" i="1"/>
  <c r="M36" i="1"/>
  <c r="M46" i="1"/>
  <c r="M54" i="1"/>
  <c r="M62" i="1"/>
  <c r="M70" i="1"/>
  <c r="M80" i="1"/>
  <c r="M88" i="1"/>
  <c r="M96" i="1"/>
  <c r="M106" i="1"/>
  <c r="M25" i="1"/>
  <c r="M29" i="1"/>
  <c r="M33" i="1"/>
  <c r="M39" i="1"/>
  <c r="M43" i="1"/>
  <c r="M47" i="1"/>
  <c r="M51" i="1"/>
  <c r="M55" i="1"/>
  <c r="M59" i="1"/>
  <c r="M63" i="1"/>
  <c r="M67" i="1"/>
  <c r="M71" i="1"/>
  <c r="M77" i="1"/>
  <c r="M81" i="1"/>
  <c r="M85" i="1"/>
  <c r="M89" i="1"/>
  <c r="M93" i="1"/>
  <c r="M97" i="1"/>
  <c r="M101" i="1"/>
  <c r="M107" i="1"/>
  <c r="M116" i="1"/>
  <c r="M32" i="1"/>
  <c r="M42" i="1"/>
  <c r="M50" i="1"/>
  <c r="M58" i="1"/>
  <c r="M66" i="1"/>
  <c r="M76" i="1"/>
  <c r="M84" i="1"/>
  <c r="M92" i="1"/>
  <c r="M100" i="1"/>
  <c r="M115" i="1"/>
  <c r="M26" i="1"/>
  <c r="M30" i="1"/>
  <c r="M34" i="1"/>
  <c r="M40" i="1"/>
  <c r="M44" i="1"/>
  <c r="M48" i="1"/>
  <c r="M52" i="1"/>
  <c r="M56" i="1"/>
  <c r="M60" i="1"/>
  <c r="M64" i="1"/>
  <c r="M68" i="1"/>
  <c r="M72" i="1"/>
  <c r="M78" i="1"/>
  <c r="M82" i="1"/>
  <c r="M86" i="1"/>
  <c r="M90" i="1"/>
  <c r="M94" i="1"/>
  <c r="M98" i="1"/>
  <c r="M104" i="1"/>
  <c r="M108" i="1"/>
  <c r="M117" i="1"/>
  <c r="L18" i="1"/>
  <c r="L20" i="1" s="1"/>
  <c r="J20" i="1"/>
  <c r="L120" i="1"/>
  <c r="C20" i="1"/>
  <c r="J120" i="1"/>
  <c r="M11" i="1"/>
  <c r="M16" i="1"/>
  <c r="C129" i="1"/>
  <c r="C131" i="1" s="1"/>
  <c r="C143" i="1" s="1"/>
  <c r="M15" i="1"/>
</calcChain>
</file>

<file path=xl/sharedStrings.xml><?xml version="1.0" encoding="utf-8"?>
<sst xmlns="http://schemas.openxmlformats.org/spreadsheetml/2006/main" count="3030" uniqueCount="321">
  <si>
    <t>ASOCIACIÓN DEPORTIVA NACIONAL DE TIRO CON ARMAS DE CAZA</t>
  </si>
  <si>
    <t>EJECUCIÓN PRESUPUESTARIA</t>
  </si>
  <si>
    <t>DEL 01 DE ENERO AL 31 DE ENERO DE 2017</t>
  </si>
  <si>
    <t>(Cifras expresadas en quetzales)</t>
  </si>
  <si>
    <t>No. Ren.</t>
  </si>
  <si>
    <t xml:space="preserve">DESCRIPCIÓN </t>
  </si>
  <si>
    <t>Presupuesto</t>
  </si>
  <si>
    <t>Modificación I</t>
  </si>
  <si>
    <t>Modificación II</t>
  </si>
  <si>
    <t>Modificación III</t>
  </si>
  <si>
    <t>Ejecutado</t>
  </si>
  <si>
    <t xml:space="preserve">Disponible  o </t>
  </si>
  <si>
    <t>Porcen-</t>
  </si>
  <si>
    <t>Autorizado</t>
  </si>
  <si>
    <t>Aumento</t>
  </si>
  <si>
    <t>Disminución</t>
  </si>
  <si>
    <t>Vigente</t>
  </si>
  <si>
    <t>Pend. Recibir</t>
  </si>
  <si>
    <t>taje</t>
  </si>
  <si>
    <t>INGRESOS</t>
  </si>
  <si>
    <t>Saldo de Caja Ingresos Propios</t>
  </si>
  <si>
    <t>11.9.90</t>
  </si>
  <si>
    <t>Otros Ingresos No Tributarios</t>
  </si>
  <si>
    <t xml:space="preserve">Rentas de la Propiedad, Intereses </t>
  </si>
  <si>
    <t>16.2.20-01</t>
  </si>
  <si>
    <t>Aporte CDAG Anual</t>
  </si>
  <si>
    <t>16.2.20-02</t>
  </si>
  <si>
    <t xml:space="preserve">Aporte Extraordinario CDAG </t>
  </si>
  <si>
    <t>16.2.20-03</t>
  </si>
  <si>
    <t>Aporte COG</t>
  </si>
  <si>
    <t>16.2.20-04</t>
  </si>
  <si>
    <t>Aporte Extraoridinario CDAG Juegos Nacionales</t>
  </si>
  <si>
    <t>Saldo de Caja Deuda COG (año 2016)</t>
  </si>
  <si>
    <t>TOTAL INGRESOS</t>
  </si>
  <si>
    <t>EGRESOS</t>
  </si>
  <si>
    <t>SERVICIOS  PERSONALES.</t>
  </si>
  <si>
    <t>011</t>
  </si>
  <si>
    <t>014</t>
  </si>
  <si>
    <t>015</t>
  </si>
  <si>
    <t>022</t>
  </si>
  <si>
    <t>027</t>
  </si>
  <si>
    <t>035</t>
  </si>
  <si>
    <t>041</t>
  </si>
  <si>
    <t>051</t>
  </si>
  <si>
    <t>052</t>
  </si>
  <si>
    <t>071</t>
  </si>
  <si>
    <t>Aguinaldo</t>
  </si>
  <si>
    <t>072</t>
  </si>
  <si>
    <t>073</t>
  </si>
  <si>
    <t>Bono Vacacional</t>
  </si>
  <si>
    <t>SERVICIOS  NO  PERSONALES.</t>
  </si>
  <si>
    <t>Energía Eléctrica</t>
  </si>
  <si>
    <t>Telefonía</t>
  </si>
  <si>
    <t>Correos y Telégrafos</t>
  </si>
  <si>
    <t>Divulgación e información</t>
  </si>
  <si>
    <t>Otros Viáticos y Gastos Conexos</t>
  </si>
  <si>
    <t>Fletes</t>
  </si>
  <si>
    <t>Almacenaje</t>
  </si>
  <si>
    <t>Arrendamiento de Medios de Transporte</t>
  </si>
  <si>
    <t>Derechos Bienes Intangibles</t>
  </si>
  <si>
    <t>Servicios de Capacitación</t>
  </si>
  <si>
    <t>Servicios por Actuaciones Artisticas y Deportivas</t>
  </si>
  <si>
    <t>Servicios de Ingenieria y Arquitectura</t>
  </si>
  <si>
    <t>Otros Estudios y Servicios</t>
  </si>
  <si>
    <t>Primas y Seguros</t>
  </si>
  <si>
    <t>Servicio de Atención y Protocolo</t>
  </si>
  <si>
    <t>MATERIALES Y SUMINISTROS.</t>
  </si>
  <si>
    <t>Alimentos para Personas</t>
  </si>
  <si>
    <t>Otros Alimentos y Productos Agropecuarios</t>
  </si>
  <si>
    <t>Acabados Textiles</t>
  </si>
  <si>
    <t>Prendas de Vestir</t>
  </si>
  <si>
    <t>Papel de Escritorio</t>
  </si>
  <si>
    <t>Productos de Papel o Cartón</t>
  </si>
  <si>
    <t>Artículos de Caucho</t>
  </si>
  <si>
    <t>Combustibles y Lubricantes</t>
  </si>
  <si>
    <t>Tintes, Pinturas y Colorantes</t>
  </si>
  <si>
    <t>Productos de Arcilla</t>
  </si>
  <si>
    <t>Productos de loza y porcelana</t>
  </si>
  <si>
    <t>Productos de Metal</t>
  </si>
  <si>
    <t>Estructuras Metálicas Acabadas</t>
  </si>
  <si>
    <t>Útiles de Oficina</t>
  </si>
  <si>
    <t>Útiles Deportivos y Recreativos</t>
  </si>
  <si>
    <t>Accesorios y Repuestos en General</t>
  </si>
  <si>
    <t>Otros Materiales y Suministros</t>
  </si>
  <si>
    <t>PROPIEDAD, PLANTA, EQUIPO E INTANGIBLES.</t>
  </si>
  <si>
    <t>Equipo de Oficina</t>
  </si>
  <si>
    <t>TRANSFERENCIAS CORRIENTES.</t>
  </si>
  <si>
    <t>Transferencias a Organismos  Internacionales</t>
  </si>
  <si>
    <t>TOTAL EGRESOS</t>
  </si>
  <si>
    <t>RESUMEN</t>
  </si>
  <si>
    <t>Ejecución Presupuestaria</t>
  </si>
  <si>
    <t>Ingresos Percibidos</t>
  </si>
  <si>
    <t>Egresos Ejecutados</t>
  </si>
  <si>
    <t>Resultado del Ejercicio</t>
  </si>
  <si>
    <t>Rentas Consignadas</t>
  </si>
  <si>
    <t>IGSS Cuota Laboral Retenido sobre sueldos del mes</t>
  </si>
  <si>
    <t xml:space="preserve">Descuento de Fianza de Fidelidad sobre sueldos </t>
  </si>
  <si>
    <t>ISR Retenido sobre rentas del trabajo y act. lucrativas</t>
  </si>
  <si>
    <t>DR. PABLO MANUEL DUARTE SAENZ DE TEJADA</t>
  </si>
  <si>
    <t>SR.  JOSÉ LUIS DE LA ROCA DÍAZ</t>
  </si>
  <si>
    <t>PRESIDENTE</t>
  </si>
  <si>
    <t xml:space="preserve">TESORERO                       </t>
  </si>
  <si>
    <t>No.</t>
  </si>
  <si>
    <t>Renglón</t>
  </si>
  <si>
    <t>SRA. VIVIAN CAROLINA GARCIA MORALES</t>
  </si>
  <si>
    <t>COORDINADORA ADMINISTRATIVA FINANCIERA</t>
  </si>
  <si>
    <t>Retribución al cargo o puesto</t>
  </si>
  <si>
    <t>Complemento Calidad Profesional Perso</t>
  </si>
  <si>
    <t>Complementos Especificos</t>
  </si>
  <si>
    <t>Otras Remuneraciones al Pers. Temp.</t>
  </si>
  <si>
    <t>Retribuciones a Destajo</t>
  </si>
  <si>
    <t>Servicios Extraordinarios de Pers. Per</t>
  </si>
  <si>
    <t>Aportes IGSS</t>
  </si>
  <si>
    <t>Aporte INTECAP</t>
  </si>
  <si>
    <t>Bonificación Anual</t>
  </si>
  <si>
    <t>111</t>
  </si>
  <si>
    <t>113</t>
  </si>
  <si>
    <t>114</t>
  </si>
  <si>
    <t>121</t>
  </si>
  <si>
    <t>122</t>
  </si>
  <si>
    <t>Impresión, encuadernación y reproducción</t>
  </si>
  <si>
    <t>131</t>
  </si>
  <si>
    <t>Viáticos al Exterior</t>
  </si>
  <si>
    <t>133</t>
  </si>
  <si>
    <t>Viáticos al Interior</t>
  </si>
  <si>
    <t>134</t>
  </si>
  <si>
    <t>Compensación P/Kilometro Recorrido</t>
  </si>
  <si>
    <t>135</t>
  </si>
  <si>
    <t>141</t>
  </si>
  <si>
    <t>Transporte de Personal</t>
  </si>
  <si>
    <t>142</t>
  </si>
  <si>
    <t>143</t>
  </si>
  <si>
    <t>151</t>
  </si>
  <si>
    <t>Arrendamiento de Instalaciones</t>
  </si>
  <si>
    <t>155</t>
  </si>
  <si>
    <t>158</t>
  </si>
  <si>
    <t>162</t>
  </si>
  <si>
    <t>Mantenimiento y Rep. de Equipo de Oficina</t>
  </si>
  <si>
    <t>164</t>
  </si>
  <si>
    <t>Mantenimiento y Rep. Equipo Educ. y Recreativo</t>
  </si>
  <si>
    <t>165</t>
  </si>
  <si>
    <t xml:space="preserve">Mantenimiento de Medios de Transporte </t>
  </si>
  <si>
    <t>168</t>
  </si>
  <si>
    <t>Mantenimiento y Rep. Equipo Cómputo</t>
  </si>
  <si>
    <t>174</t>
  </si>
  <si>
    <t>Mantenimiento y Rep. de Instalaciones</t>
  </si>
  <si>
    <t>181</t>
  </si>
  <si>
    <t>Estudios de Factibilidad</t>
  </si>
  <si>
    <t>182</t>
  </si>
  <si>
    <t>Servicios Médicos</t>
  </si>
  <si>
    <t>183</t>
  </si>
  <si>
    <t>Servicios Juridicos</t>
  </si>
  <si>
    <t>184</t>
  </si>
  <si>
    <t>Servicios Economicos, Contables y Auditoria</t>
  </si>
  <si>
    <t>185</t>
  </si>
  <si>
    <t>186</t>
  </si>
  <si>
    <t>Servicios de Informática</t>
  </si>
  <si>
    <t>187</t>
  </si>
  <si>
    <t>188</t>
  </si>
  <si>
    <t>189</t>
  </si>
  <si>
    <t>191</t>
  </si>
  <si>
    <t>194</t>
  </si>
  <si>
    <t>Otras Comisiones y Gastos Bancarios</t>
  </si>
  <si>
    <t>195</t>
  </si>
  <si>
    <t>Impuestos Derechos y Tasas</t>
  </si>
  <si>
    <t>196</t>
  </si>
  <si>
    <t>199</t>
  </si>
  <si>
    <t>Otros Servicios No Personales</t>
  </si>
  <si>
    <t>211</t>
  </si>
  <si>
    <t>219</t>
  </si>
  <si>
    <t>232</t>
  </si>
  <si>
    <t>233</t>
  </si>
  <si>
    <t>241</t>
  </si>
  <si>
    <t>243</t>
  </si>
  <si>
    <t>244</t>
  </si>
  <si>
    <t>Productos de Artes Graficas</t>
  </si>
  <si>
    <t>245</t>
  </si>
  <si>
    <t>Libros Revistas y Periódicos</t>
  </si>
  <si>
    <t>253</t>
  </si>
  <si>
    <t>Llantas Y Neumáticos</t>
  </si>
  <si>
    <t>254</t>
  </si>
  <si>
    <t>262</t>
  </si>
  <si>
    <t>266</t>
  </si>
  <si>
    <t>Productos Medicinales</t>
  </si>
  <si>
    <t>267</t>
  </si>
  <si>
    <t>268</t>
  </si>
  <si>
    <t>Productos de Plástico Vinil Y PVC</t>
  </si>
  <si>
    <t>269</t>
  </si>
  <si>
    <t>Otros productos Químicos</t>
  </si>
  <si>
    <t>271</t>
  </si>
  <si>
    <t>273</t>
  </si>
  <si>
    <t>283</t>
  </si>
  <si>
    <t>284</t>
  </si>
  <si>
    <t>285</t>
  </si>
  <si>
    <t>Materiales y Equipos Diversos (Munic)</t>
  </si>
  <si>
    <t>291</t>
  </si>
  <si>
    <t>292</t>
  </si>
  <si>
    <t>Útiles de Limpieza</t>
  </si>
  <si>
    <t>294</t>
  </si>
  <si>
    <t>296</t>
  </si>
  <si>
    <t>Utiles de Cocina y Comedor</t>
  </si>
  <si>
    <t>297</t>
  </si>
  <si>
    <t>Accesorios y Materiales Eléctricos</t>
  </si>
  <si>
    <t>298</t>
  </si>
  <si>
    <t>299</t>
  </si>
  <si>
    <t>322</t>
  </si>
  <si>
    <t>323</t>
  </si>
  <si>
    <t>Equipo Medico Sanitario</t>
  </si>
  <si>
    <t>324</t>
  </si>
  <si>
    <t>Equipo Educativo, Cult. y Recreativo (ESC</t>
  </si>
  <si>
    <t>325</t>
  </si>
  <si>
    <t>Medios de Transporte</t>
  </si>
  <si>
    <t>326</t>
  </si>
  <si>
    <t>Equipo de comunicaciones</t>
  </si>
  <si>
    <t>328</t>
  </si>
  <si>
    <t>Equipo de Computo</t>
  </si>
  <si>
    <t>329</t>
  </si>
  <si>
    <t>Otras Máquinas y Equipo</t>
  </si>
  <si>
    <t>332</t>
  </si>
  <si>
    <t>Construcciones de Bienes Nacionales UNC</t>
  </si>
  <si>
    <t>413</t>
  </si>
  <si>
    <t>Indemnizaciones al Personal</t>
  </si>
  <si>
    <t>415</t>
  </si>
  <si>
    <t>Vacaciones</t>
  </si>
  <si>
    <t>419</t>
  </si>
  <si>
    <t>Otras Transferencias a Personas</t>
  </si>
  <si>
    <t>453</t>
  </si>
  <si>
    <t>Transferencias a Entidades Decentralizadas y A.</t>
  </si>
  <si>
    <t>472</t>
  </si>
  <si>
    <t>Saldo en Caja al 31 de Diciembre de 2016</t>
  </si>
  <si>
    <t>Otros descuentos</t>
  </si>
  <si>
    <t>SALDO EN CAJA AL 31 DE ENERO DE 2017</t>
  </si>
  <si>
    <t>Guatemala, 31 de Enero de 2017</t>
  </si>
  <si>
    <t>Pago retenciones ISR act. lucrativas y rentas del trabajo</t>
  </si>
  <si>
    <t>Aporte patronal al IGSS</t>
  </si>
  <si>
    <t>Aporte patronal al Intecap</t>
  </si>
  <si>
    <t>DEL 01 DE ENERO AL 28 DE FEBRERO DE 2017</t>
  </si>
  <si>
    <t>Transporte de Personas</t>
  </si>
  <si>
    <t>Otros Estudios y/o Servicios</t>
  </si>
  <si>
    <t>Gastos bancarios, comisiones y otros gastos</t>
  </si>
  <si>
    <t>Otras transferencias a personas individuales</t>
  </si>
  <si>
    <t>11.9.90-01</t>
  </si>
  <si>
    <t>11.9.90-03</t>
  </si>
  <si>
    <t>11.9.90-04</t>
  </si>
  <si>
    <t>Otros Ingresos No Tributarios - Cuotas afiliaciones</t>
  </si>
  <si>
    <t>Otros Ingresos No Tributarios - Aporte Socios cartuchos, platillos y otros</t>
  </si>
  <si>
    <t>Otros Ingresos No Tributarios - Aporte Escuela Vac.</t>
  </si>
  <si>
    <t>Rentas de la Propiedad, Intereses por depósitos</t>
  </si>
  <si>
    <t>SALDO EN CAJA AL 28 DE FEBRERO DE 2017</t>
  </si>
  <si>
    <t>Guatemala, 28 de Febrero de 2017</t>
  </si>
  <si>
    <t>DEL 01 DE ENERO AL 31 DE MARZO DE 2017</t>
  </si>
  <si>
    <t xml:space="preserve">Pago descuento de Fianza de Fidelidad sobre sueldos </t>
  </si>
  <si>
    <t>SALDO EN CAJA AL 31 DE MARZO DE 2017</t>
  </si>
  <si>
    <t>Guatemala, 31 de Marzo de 2017</t>
  </si>
  <si>
    <t>214</t>
  </si>
  <si>
    <t>Productos agroforestales, madera, corcho y sus manufacturas</t>
  </si>
  <si>
    <t>274</t>
  </si>
  <si>
    <t>Cemento</t>
  </si>
  <si>
    <t>279</t>
  </si>
  <si>
    <t>Otros productos de minerales no metálicos</t>
  </si>
  <si>
    <t>286</t>
  </si>
  <si>
    <t>Herramientas menores</t>
  </si>
  <si>
    <t>Descuento Embargo Precautorio Marzo, Carlos Castellanos</t>
  </si>
  <si>
    <t>ISR rentas del trabajo período 2016. Impuesto pend. pago ISR</t>
  </si>
  <si>
    <t>DEL 01 DE ENERO AL 30 DE ABRIL DE 2017</t>
  </si>
  <si>
    <t>Otros Ing. No Tributarios - Cuotas de afiliaciones</t>
  </si>
  <si>
    <t>Otros Ing. No Tributarios - Aporte Donación Socios cartuchos, platillos y otros</t>
  </si>
  <si>
    <t>Otros Ing. No Tributarios - Aporte Donación Jóv. Escuela Vac.</t>
  </si>
  <si>
    <t>Servicios de informática y sistemas computarizados</t>
  </si>
  <si>
    <t>Descuento Embargo Precautorio Abril, Carlos Castellanos</t>
  </si>
  <si>
    <t>Descuento de Fianza de Fidelidad sobre sueldos Abril</t>
  </si>
  <si>
    <t>SALDO EN CAJA AL 30 DE ABRIL DE 2017</t>
  </si>
  <si>
    <t>Guatemala, 30 de Abril de 2017</t>
  </si>
  <si>
    <t>Rentas Consignadas - Marzo</t>
  </si>
  <si>
    <t>Rentas Consignadas - Abril</t>
  </si>
  <si>
    <t>Otros productos químicos y conexos</t>
  </si>
  <si>
    <t>SALDO EN CAJA AL 31 DE MAYO DE 2017</t>
  </si>
  <si>
    <t>.</t>
  </si>
  <si>
    <t>Guatemala, 31 de Mayo de 2017</t>
  </si>
  <si>
    <t>DEL 01 DE ENERO AL 31 DE MAYO DE 2017</t>
  </si>
  <si>
    <t>Descuento de Fianza de Fidelidad sobre sueldos</t>
  </si>
  <si>
    <t>021</t>
  </si>
  <si>
    <t>Personal supernumerario</t>
  </si>
  <si>
    <t>Complementos específicos al personal temporal</t>
  </si>
  <si>
    <t>DEL 01 DE ENERO AL 30 DE JUNIO DE 2017</t>
  </si>
  <si>
    <t>SALDO EN CAJA AL 30 DE JUNIO DE 2017</t>
  </si>
  <si>
    <t>Guatemala, 30 de Junio de 2017</t>
  </si>
  <si>
    <t>Guatemala, 31 de Julio de 2017</t>
  </si>
  <si>
    <t>IVA Retenido sobre facturas especiales</t>
  </si>
  <si>
    <t>SALDO EN CAJA AL 31 DE JULIO DE 2017</t>
  </si>
  <si>
    <t>DEL 01 DE ENERO AL 31 DE JULIO DE 2017</t>
  </si>
  <si>
    <t>SRA. EVELYN BRISEYDA PATZAN ALAY</t>
  </si>
  <si>
    <t>Guatemala, 31 de Agosto de 2017</t>
  </si>
  <si>
    <t>SALDO EN CAJA AL 31 DE AGOSTO  DE 2017</t>
  </si>
  <si>
    <t>DEL 01 DE ENERO AL 31 DE AGOSTO DE 2017</t>
  </si>
  <si>
    <t>Modificación IV</t>
  </si>
  <si>
    <t>DEL 01 DE ENERO AL 30 DE SEPTIEMBRE DE 2017</t>
  </si>
  <si>
    <t>SALDO EN CAJA AL 30 DE SEPTIEMBRE  DE 2017</t>
  </si>
  <si>
    <t>Guatemala, 30 de Septiembre de 2017</t>
  </si>
  <si>
    <t xml:space="preserve">Pago ISR VL viaje a Moscu </t>
  </si>
  <si>
    <t>Modificación V</t>
  </si>
  <si>
    <t>DEL 01 DE ENERO AL 31 DE OCTUBRE DE 2017</t>
  </si>
  <si>
    <t>Guatemala, 31 de Octubre de 2017</t>
  </si>
  <si>
    <t>SALDO EN CAJA AL 30 DE OCTUBRE  DE 2017</t>
  </si>
  <si>
    <t>DEL 01 DE ENERO AL 30 DE NOVIEMBRE DE 2017</t>
  </si>
  <si>
    <t>SALDO EN CAJA AL 30 DE NOVIEMBRE  DE 2017</t>
  </si>
  <si>
    <t>Guatemala, 30 de Noviembre de 2017</t>
  </si>
  <si>
    <t xml:space="preserve">Prendas de Vestir                                          </t>
  </si>
  <si>
    <t xml:space="preserve">Modificación V </t>
  </si>
  <si>
    <t>Modificación VI</t>
  </si>
  <si>
    <t>Disminu-</t>
  </si>
  <si>
    <t>DEL 01 DE ENERO AL 31 DE DICIEMBRE DE 2017</t>
  </si>
  <si>
    <t>Guatemala, 31 de Diciembre de 2017</t>
  </si>
  <si>
    <t>IGSS Cuota de Patronos, trabajadores e Intecap por Pagar</t>
  </si>
  <si>
    <t xml:space="preserve">COG reintegro participación en Santo Domingo </t>
  </si>
  <si>
    <t>SALDO EN CAJA AL 31 DE DICIEMBRE DE 2017</t>
  </si>
  <si>
    <t>Otros Ing. No Trib - Cuotas de afiliaciones</t>
  </si>
  <si>
    <t>Otros Ing. No Trib - Aporte Donación Socios cartuchos, platillos y otros</t>
  </si>
  <si>
    <t>Otros Ing. No Trib - Aporte Donación Jóv. Escuela Vac.</t>
  </si>
  <si>
    <t>Modificación VII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</si>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</sst>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[$EUR]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2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rgb="FF0000CC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4" xfId="0" applyFont="1" applyBorder="1"/>
    <xf numFmtId="0" fontId="3" fillId="0" borderId="5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3" fillId="0" borderId="2" xfId="0" applyFont="1" applyBorder="1"/>
    <xf numFmtId="43" fontId="4" fillId="0" borderId="3" xfId="0" applyNumberFormat="1" applyFont="1" applyBorder="1"/>
    <xf numFmtId="43" fontId="4" fillId="0" borderId="1" xfId="0" applyNumberFormat="1" applyFont="1" applyBorder="1"/>
    <xf numFmtId="0" fontId="3" fillId="0" borderId="1" xfId="0" applyFont="1" applyBorder="1"/>
    <xf numFmtId="0" fontId="6" fillId="0" borderId="1" xfId="0" applyFont="1" applyBorder="1"/>
    <xf numFmtId="164" fontId="4" fillId="0" borderId="1" xfId="0" applyNumberFormat="1" applyFont="1" applyBorder="1"/>
    <xf numFmtId="164" fontId="5" fillId="0" borderId="2" xfId="0" applyNumberFormat="1" applyFont="1" applyBorder="1"/>
    <xf numFmtId="164" fontId="4" fillId="0" borderId="3" xfId="0" applyNumberFormat="1" applyFont="1" applyBorder="1"/>
    <xf numFmtId="9" fontId="2" fillId="0" borderId="1" xfId="2" applyFont="1" applyBorder="1"/>
    <xf numFmtId="9" fontId="2" fillId="0" borderId="6" xfId="2" applyFont="1" applyBorder="1"/>
    <xf numFmtId="9" fontId="3" fillId="0" borderId="2" xfId="2" applyFont="1" applyBorder="1"/>
    <xf numFmtId="9" fontId="2" fillId="0" borderId="3" xfId="2" applyFont="1" applyBorder="1"/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0" fontId="6" fillId="0" borderId="1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164" fontId="2" fillId="0" borderId="1" xfId="0" applyNumberFormat="1" applyFont="1" applyBorder="1"/>
    <xf numFmtId="164" fontId="2" fillId="0" borderId="6" xfId="0" applyNumberFormat="1" applyFont="1" applyBorder="1"/>
    <xf numFmtId="43" fontId="2" fillId="0" borderId="0" xfId="1" applyFont="1"/>
    <xf numFmtId="43" fontId="2" fillId="0" borderId="0" xfId="0" applyNumberFormat="1" applyFont="1"/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43" fontId="3" fillId="0" borderId="9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3" fontId="3" fillId="0" borderId="11" xfId="0" applyNumberFormat="1" applyFont="1" applyBorder="1" applyAlignment="1">
      <alignment horizontal="centerContinuous"/>
    </xf>
    <xf numFmtId="0" fontId="2" fillId="0" borderId="12" xfId="0" applyFont="1" applyBorder="1"/>
    <xf numFmtId="0" fontId="2" fillId="0" borderId="13" xfId="0" applyFont="1" applyBorder="1"/>
    <xf numFmtId="43" fontId="2" fillId="0" borderId="14" xfId="0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9" xfId="0" applyNumberFormat="1" applyFont="1" applyBorder="1"/>
    <xf numFmtId="164" fontId="2" fillId="0" borderId="11" xfId="0" applyNumberFormat="1" applyFont="1" applyBorder="1"/>
    <xf numFmtId="0" fontId="3" fillId="0" borderId="13" xfId="0" applyFont="1" applyBorder="1"/>
    <xf numFmtId="9" fontId="8" fillId="0" borderId="2" xfId="2" applyFont="1" applyBorder="1"/>
    <xf numFmtId="164" fontId="4" fillId="0" borderId="11" xfId="0" applyNumberFormat="1" applyFont="1" applyBorder="1"/>
    <xf numFmtId="164" fontId="5" fillId="0" borderId="11" xfId="0" applyNumberFormat="1" applyFont="1" applyBorder="1"/>
    <xf numFmtId="164" fontId="4" fillId="0" borderId="15" xfId="0" applyNumberFormat="1" applyFont="1" applyBorder="1"/>
    <xf numFmtId="164" fontId="5" fillId="0" borderId="15" xfId="0" applyNumberFormat="1" applyFont="1" applyBorder="1"/>
    <xf numFmtId="164" fontId="5" fillId="0" borderId="14" xfId="0" applyNumberFormat="1" applyFont="1" applyBorder="1"/>
    <xf numFmtId="0" fontId="9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7"/>
    </xf>
    <xf numFmtId="164" fontId="4" fillId="0" borderId="11" xfId="0" applyNumberFormat="1" applyFont="1" applyFill="1" applyBorder="1"/>
    <xf numFmtId="43" fontId="11" fillId="0" borderId="0" xfId="0" applyNumberFormat="1" applyFont="1"/>
    <xf numFmtId="43" fontId="11" fillId="0" borderId="0" xfId="1" applyFont="1"/>
    <xf numFmtId="0" fontId="3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43" fontId="4" fillId="0" borderId="3" xfId="0" applyNumberFormat="1" applyFont="1" applyFill="1" applyBorder="1"/>
    <xf numFmtId="0" fontId="3" fillId="0" borderId="1" xfId="0" applyFont="1" applyFill="1" applyBorder="1"/>
    <xf numFmtId="164" fontId="4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/>
    <xf numFmtId="164" fontId="5" fillId="0" borderId="2" xfId="0" applyNumberFormat="1" applyFont="1" applyFill="1" applyBorder="1"/>
    <xf numFmtId="9" fontId="3" fillId="0" borderId="2" xfId="2" applyFont="1" applyFill="1" applyBorder="1"/>
    <xf numFmtId="164" fontId="4" fillId="0" borderId="3" xfId="0" applyNumberFormat="1" applyFont="1" applyFill="1" applyBorder="1"/>
    <xf numFmtId="9" fontId="2" fillId="0" borderId="3" xfId="2" applyFont="1" applyFill="1" applyBorder="1"/>
    <xf numFmtId="0" fontId="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indent="2"/>
    </xf>
    <xf numFmtId="0" fontId="12" fillId="0" borderId="1" xfId="0" applyFont="1" applyFill="1" applyBorder="1"/>
    <xf numFmtId="0" fontId="2" fillId="0" borderId="1" xfId="0" applyFont="1" applyFill="1" applyBorder="1" applyAlignment="1">
      <alignment horizontal="left" indent="2"/>
    </xf>
    <xf numFmtId="164" fontId="2" fillId="0" borderId="1" xfId="0" applyNumberFormat="1" applyFont="1" applyFill="1" applyBorder="1"/>
    <xf numFmtId="0" fontId="2" fillId="0" borderId="6" xfId="0" applyFont="1" applyFill="1" applyBorder="1" applyAlignment="1">
      <alignment horizontal="left" indent="2"/>
    </xf>
    <xf numFmtId="0" fontId="2" fillId="0" borderId="6" xfId="0" applyFont="1" applyFill="1" applyBorder="1"/>
    <xf numFmtId="164" fontId="2" fillId="0" borderId="6" xfId="0" applyNumberFormat="1" applyFont="1" applyFill="1" applyBorder="1"/>
    <xf numFmtId="9" fontId="2" fillId="0" borderId="6" xfId="2" applyFont="1" applyFill="1" applyBorder="1"/>
    <xf numFmtId="9" fontId="8" fillId="0" borderId="2" xfId="2" applyFont="1" applyFill="1" applyBorder="1"/>
    <xf numFmtId="43" fontId="2" fillId="0" borderId="0" xfId="1" applyFont="1" applyFill="1"/>
    <xf numFmtId="43" fontId="13" fillId="0" borderId="0" xfId="0" applyNumberFormat="1" applyFont="1" applyFill="1"/>
    <xf numFmtId="43" fontId="2" fillId="0" borderId="0" xfId="0" applyNumberFormat="1" applyFont="1" applyFill="1"/>
    <xf numFmtId="43" fontId="11" fillId="0" borderId="0" xfId="1" applyFont="1" applyFill="1"/>
    <xf numFmtId="43" fontId="11" fillId="0" borderId="0" xfId="0" applyNumberFormat="1" applyFont="1" applyFill="1"/>
    <xf numFmtId="0" fontId="3" fillId="0" borderId="7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43" fontId="3" fillId="0" borderId="9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3" fontId="3" fillId="0" borderId="11" xfId="0" applyNumberFormat="1" applyFont="1" applyFill="1" applyBorder="1" applyAlignment="1">
      <alignment horizontal="centerContinuous"/>
    </xf>
    <xf numFmtId="0" fontId="2" fillId="0" borderId="12" xfId="0" applyFont="1" applyFill="1" applyBorder="1"/>
    <xf numFmtId="0" fontId="2" fillId="0" borderId="13" xfId="0" applyFont="1" applyFill="1" applyBorder="1"/>
    <xf numFmtId="43" fontId="2" fillId="0" borderId="14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164" fontId="2" fillId="0" borderId="9" xfId="0" applyNumberFormat="1" applyFont="1" applyFill="1" applyBorder="1"/>
    <xf numFmtId="0" fontId="9" fillId="0" borderId="10" xfId="0" applyFont="1" applyFill="1" applyBorder="1" applyAlignment="1">
      <alignment horizontal="left" indent="1"/>
    </xf>
    <xf numFmtId="0" fontId="2" fillId="0" borderId="0" xfId="0" applyFont="1" applyFill="1" applyBorder="1"/>
    <xf numFmtId="164" fontId="2" fillId="0" borderId="11" xfId="0" applyNumberFormat="1" applyFont="1" applyFill="1" applyBorder="1"/>
    <xf numFmtId="0" fontId="2" fillId="0" borderId="10" xfId="0" applyFont="1" applyFill="1" applyBorder="1" applyAlignment="1">
      <alignment horizontal="left" indent="1"/>
    </xf>
    <xf numFmtId="164" fontId="4" fillId="0" borderId="15" xfId="0" applyNumberFormat="1" applyFont="1" applyFill="1" applyBorder="1"/>
    <xf numFmtId="0" fontId="3" fillId="0" borderId="10" xfId="0" applyFont="1" applyFill="1" applyBorder="1" applyAlignment="1">
      <alignment horizontal="left" indent="1"/>
    </xf>
    <xf numFmtId="0" fontId="3" fillId="0" borderId="0" xfId="0" applyFont="1" applyFill="1" applyBorder="1"/>
    <xf numFmtId="164" fontId="5" fillId="0" borderId="11" xfId="0" applyNumberFormat="1" applyFont="1" applyFill="1" applyBorder="1"/>
    <xf numFmtId="164" fontId="5" fillId="0" borderId="15" xfId="0" applyNumberFormat="1" applyFont="1" applyFill="1" applyBorder="1"/>
    <xf numFmtId="0" fontId="3" fillId="0" borderId="12" xfId="0" applyFont="1" applyFill="1" applyBorder="1" applyAlignment="1">
      <alignment horizontal="left" indent="1"/>
    </xf>
    <xf numFmtId="0" fontId="3" fillId="0" borderId="13" xfId="0" applyFont="1" applyFill="1" applyBorder="1"/>
    <xf numFmtId="164" fontId="5" fillId="0" borderId="14" xfId="0" applyNumberFormat="1" applyFont="1" applyFill="1" applyBorder="1"/>
    <xf numFmtId="0" fontId="2" fillId="0" borderId="0" xfId="0" applyFont="1" applyFill="1" applyAlignment="1">
      <alignment horizontal="left" indent="7"/>
    </xf>
    <xf numFmtId="43" fontId="4" fillId="0" borderId="6" xfId="0" applyNumberFormat="1" applyFont="1" applyFill="1" applyBorder="1"/>
    <xf numFmtId="0" fontId="2" fillId="0" borderId="16" xfId="0" applyFont="1" applyFill="1" applyBorder="1"/>
    <xf numFmtId="164" fontId="4" fillId="0" borderId="16" xfId="0" applyNumberFormat="1" applyFont="1" applyFill="1" applyBorder="1"/>
    <xf numFmtId="9" fontId="2" fillId="0" borderId="16" xfId="2" applyFont="1" applyFill="1" applyBorder="1"/>
    <xf numFmtId="0" fontId="3" fillId="0" borderId="3" xfId="0" applyFont="1" applyFill="1" applyBorder="1"/>
    <xf numFmtId="165" fontId="1" fillId="0" borderId="0" xfId="0" applyNumberFormat="1" applyFont="1" applyFill="1"/>
    <xf numFmtId="0" fontId="2" fillId="0" borderId="1" xfId="0" quotePrefix="1" applyFont="1" applyFill="1" applyBorder="1" applyAlignment="1">
      <alignment horizontal="left" indent="2"/>
    </xf>
    <xf numFmtId="0" fontId="14" fillId="0" borderId="0" xfId="0" applyFont="1" applyFill="1" applyAlignment="1">
      <alignment horizontal="centerContinuous"/>
    </xf>
    <xf numFmtId="0" fontId="15" fillId="0" borderId="0" xfId="0" applyFont="1" applyFill="1"/>
    <xf numFmtId="43" fontId="16" fillId="0" borderId="6" xfId="0" applyNumberFormat="1" applyFont="1" applyFill="1" applyBorder="1"/>
    <xf numFmtId="43" fontId="16" fillId="0" borderId="3" xfId="0" applyNumberFormat="1" applyFont="1" applyFill="1" applyBorder="1"/>
    <xf numFmtId="164" fontId="16" fillId="0" borderId="1" xfId="0" applyNumberFormat="1" applyFont="1" applyFill="1" applyBorder="1"/>
    <xf numFmtId="164" fontId="17" fillId="0" borderId="2" xfId="0" applyNumberFormat="1" applyFont="1" applyFill="1" applyBorder="1"/>
    <xf numFmtId="164" fontId="16" fillId="0" borderId="16" xfId="0" applyNumberFormat="1" applyFont="1" applyFill="1" applyBorder="1"/>
    <xf numFmtId="164" fontId="16" fillId="0" borderId="3" xfId="0" applyNumberFormat="1" applyFont="1" applyFill="1" applyBorder="1"/>
    <xf numFmtId="164" fontId="15" fillId="0" borderId="1" xfId="0" applyNumberFormat="1" applyFont="1" applyFill="1" applyBorder="1"/>
    <xf numFmtId="164" fontId="15" fillId="0" borderId="6" xfId="0" applyNumberFormat="1" applyFont="1" applyFill="1" applyBorder="1"/>
    <xf numFmtId="43" fontId="18" fillId="0" borderId="0" xfId="1" applyFont="1" applyFill="1"/>
    <xf numFmtId="43" fontId="18" fillId="0" borderId="0" xfId="0" applyNumberFormat="1" applyFont="1" applyFill="1"/>
    <xf numFmtId="43" fontId="15" fillId="0" borderId="0" xfId="0" applyNumberFormat="1" applyFont="1" applyFill="1"/>
    <xf numFmtId="0" fontId="19" fillId="0" borderId="0" xfId="0" applyFont="1" applyFill="1"/>
    <xf numFmtId="43" fontId="20" fillId="0" borderId="0" xfId="0" applyNumberFormat="1" applyFont="1" applyFill="1"/>
    <xf numFmtId="164" fontId="2" fillId="0" borderId="0" xfId="0" applyNumberFormat="1" applyFont="1" applyFill="1"/>
    <xf numFmtId="164" fontId="16" fillId="0" borderId="11" xfId="0" applyNumberFormat="1" applyFont="1" applyFill="1" applyBorder="1"/>
    <xf numFmtId="164" fontId="16" fillId="0" borderId="15" xfId="0" applyNumberFormat="1" applyFont="1" applyFill="1" applyBorder="1"/>
    <xf numFmtId="164" fontId="17" fillId="0" borderId="11" xfId="0" applyNumberFormat="1" applyFont="1" applyFill="1" applyBorder="1"/>
    <xf numFmtId="164" fontId="17" fillId="0" borderId="15" xfId="0" applyNumberFormat="1" applyFont="1" applyFill="1" applyBorder="1"/>
    <xf numFmtId="164" fontId="17" fillId="0" borderId="14" xfId="0" applyNumberFormat="1" applyFont="1" applyFill="1" applyBorder="1"/>
    <xf numFmtId="164" fontId="2" fillId="0" borderId="17" xfId="0" applyNumberFormat="1" applyFont="1" applyFill="1" applyBorder="1"/>
    <xf numFmtId="164" fontId="16" fillId="2" borderId="1" xfId="0" applyNumberFormat="1" applyFont="1" applyFill="1" applyBorder="1"/>
    <xf numFmtId="0" fontId="3" fillId="2" borderId="0" xfId="0" applyFont="1" applyFill="1" applyAlignment="1">
      <alignment horizontal="centerContinuous"/>
    </xf>
    <xf numFmtId="0" fontId="2" fillId="2" borderId="0" xfId="0" applyFont="1" applyFill="1"/>
    <xf numFmtId="0" fontId="3" fillId="2" borderId="2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/>
    </xf>
    <xf numFmtId="43" fontId="4" fillId="2" borderId="6" xfId="0" applyNumberFormat="1" applyFont="1" applyFill="1" applyBorder="1"/>
    <xf numFmtId="43" fontId="4" fillId="2" borderId="3" xfId="0" applyNumberFormat="1" applyFont="1" applyFill="1" applyBorder="1"/>
    <xf numFmtId="164" fontId="4" fillId="2" borderId="1" xfId="0" applyNumberFormat="1" applyFont="1" applyFill="1" applyBorder="1"/>
    <xf numFmtId="164" fontId="5" fillId="2" borderId="2" xfId="0" applyNumberFormat="1" applyFont="1" applyFill="1" applyBorder="1"/>
    <xf numFmtId="164" fontId="4" fillId="2" borderId="16" xfId="0" applyNumberFormat="1" applyFont="1" applyFill="1" applyBorder="1"/>
    <xf numFmtId="164" fontId="4" fillId="2" borderId="3" xfId="0" applyNumberFormat="1" applyFont="1" applyFill="1" applyBorder="1"/>
    <xf numFmtId="164" fontId="2" fillId="2" borderId="1" xfId="0" applyNumberFormat="1" applyFont="1" applyFill="1" applyBorder="1"/>
    <xf numFmtId="164" fontId="2" fillId="2" borderId="17" xfId="0" applyNumberFormat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left" indent="7"/>
    </xf>
    <xf numFmtId="0" fontId="1" fillId="2" borderId="0" xfId="0" applyFont="1" applyFill="1"/>
    <xf numFmtId="0" fontId="13" fillId="0" borderId="0" xfId="0" applyFont="1" applyFill="1"/>
    <xf numFmtId="43" fontId="13" fillId="0" borderId="0" xfId="1" applyFont="1" applyFill="1"/>
    <xf numFmtId="43" fontId="13" fillId="2" borderId="0" xfId="0" applyNumberFormat="1" applyFont="1" applyFill="1"/>
    <xf numFmtId="43" fontId="10" fillId="0" borderId="0" xfId="1" applyFont="1" applyFill="1"/>
    <xf numFmtId="164" fontId="2" fillId="2" borderId="6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</cellXfs>
  <cellStyles count="6">
    <cellStyle name="Millares" xfId="1" builtinId="3"/>
    <cellStyle name="Millares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colors>
    <mruColors>
      <color rgb="FFFF99CC"/>
      <color rgb="FFFF66CC"/>
      <color rgb="FFCC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showGridLines="0" zoomScale="85" zoomScaleNormal="85" workbookViewId="0">
      <selection activeCell="C140" sqref="C140"/>
    </sheetView>
  </sheetViews>
  <sheetFormatPr baseColWidth="10" defaultRowHeight="14.25" x14ac:dyDescent="0.2"/>
  <cols>
    <col min="1" max="1" width="11.7109375" style="1" customWidth="1"/>
    <col min="2" max="2" width="48.7109375" style="1" customWidth="1"/>
    <col min="3" max="3" width="16.28515625" style="1" customWidth="1"/>
    <col min="4" max="9" width="15.7109375" style="1" customWidth="1"/>
    <col min="10" max="10" width="16.28515625" style="1" customWidth="1"/>
    <col min="11" max="11" width="15.7109375" style="1" customWidth="1"/>
    <col min="12" max="12" width="16.28515625" style="1" customWidth="1"/>
    <col min="13" max="13" width="10.7109375" style="1" customWidth="1"/>
    <col min="14" max="14" width="7" style="1" customWidth="1"/>
    <col min="15" max="15" width="18.7109375" style="1" customWidth="1"/>
    <col min="16" max="16384" width="11.42578125" style="1"/>
  </cols>
  <sheetData>
    <row r="1" spans="1:15" ht="15.7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5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</row>
    <row r="3" spans="1:15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</row>
    <row r="4" spans="1:15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</row>
    <row r="5" spans="1:15" ht="15.7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6.5" thickBot="1" x14ac:dyDescent="0.3">
      <c r="A6" s="10" t="s">
        <v>102</v>
      </c>
      <c r="B6" s="179" t="s">
        <v>5</v>
      </c>
      <c r="C6" s="4" t="s">
        <v>6</v>
      </c>
      <c r="D6" s="9" t="s">
        <v>7</v>
      </c>
      <c r="E6" s="9"/>
      <c r="F6" s="9" t="s">
        <v>8</v>
      </c>
      <c r="G6" s="9"/>
      <c r="H6" s="9" t="s">
        <v>9</v>
      </c>
      <c r="I6" s="9"/>
      <c r="J6" s="10" t="s">
        <v>6</v>
      </c>
      <c r="K6" s="177" t="s">
        <v>10</v>
      </c>
      <c r="L6" s="10" t="s">
        <v>11</v>
      </c>
      <c r="M6" s="4" t="s">
        <v>12</v>
      </c>
      <c r="N6" s="2"/>
      <c r="O6" s="2"/>
    </row>
    <row r="7" spans="1:15" ht="16.5" thickBot="1" x14ac:dyDescent="0.3">
      <c r="A7" s="11" t="s">
        <v>103</v>
      </c>
      <c r="B7" s="180"/>
      <c r="C7" s="11" t="s">
        <v>13</v>
      </c>
      <c r="D7" s="11" t="s">
        <v>14</v>
      </c>
      <c r="E7" s="11" t="s">
        <v>15</v>
      </c>
      <c r="F7" s="11" t="s">
        <v>14</v>
      </c>
      <c r="G7" s="11" t="s">
        <v>15</v>
      </c>
      <c r="H7" s="11" t="s">
        <v>14</v>
      </c>
      <c r="I7" s="11" t="s">
        <v>15</v>
      </c>
      <c r="J7" s="11" t="s">
        <v>16</v>
      </c>
      <c r="K7" s="178"/>
      <c r="L7" s="11" t="s">
        <v>17</v>
      </c>
      <c r="M7" s="5" t="s">
        <v>18</v>
      </c>
      <c r="N7" s="2"/>
      <c r="O7" s="2"/>
    </row>
    <row r="8" spans="1:15" s="2" customFormat="1" ht="17.100000000000001" customHeight="1" x14ac:dyDescent="0.2">
      <c r="A8" s="7"/>
      <c r="B8" s="7"/>
      <c r="C8" s="15"/>
      <c r="D8" s="15"/>
      <c r="E8" s="15"/>
      <c r="F8" s="15"/>
      <c r="G8" s="15"/>
      <c r="H8" s="15"/>
      <c r="I8" s="15"/>
      <c r="J8" s="15"/>
      <c r="K8" s="15"/>
      <c r="L8" s="15"/>
      <c r="M8" s="7"/>
    </row>
    <row r="9" spans="1:15" s="2" customFormat="1" ht="17.100000000000001" customHeight="1" x14ac:dyDescent="0.25">
      <c r="A9" s="6"/>
      <c r="B9" s="25" t="s">
        <v>19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6"/>
    </row>
    <row r="10" spans="1:15" s="2" customFormat="1" ht="17.100000000000001" customHeight="1" x14ac:dyDescent="0.2">
      <c r="A10" s="7"/>
      <c r="B10" s="7"/>
      <c r="C10" s="15"/>
      <c r="D10" s="15"/>
      <c r="E10" s="15"/>
      <c r="F10" s="15"/>
      <c r="G10" s="15"/>
      <c r="H10" s="15"/>
      <c r="I10" s="15"/>
      <c r="J10" s="18"/>
      <c r="K10" s="15"/>
      <c r="L10" s="18"/>
      <c r="M10" s="7"/>
    </row>
    <row r="11" spans="1:15" s="2" customFormat="1" ht="17.100000000000001" customHeight="1" x14ac:dyDescent="0.25">
      <c r="A11" s="7"/>
      <c r="B11" s="16" t="s">
        <v>20</v>
      </c>
      <c r="C11" s="18">
        <f>198363.1+404138.05</f>
        <v>602501.15</v>
      </c>
      <c r="D11" s="18"/>
      <c r="E11" s="18"/>
      <c r="F11" s="18"/>
      <c r="G11" s="18"/>
      <c r="H11" s="18"/>
      <c r="I11" s="18"/>
      <c r="J11" s="18">
        <f>C11+D11-E11+F11-G11+H11-I11</f>
        <v>602501.15</v>
      </c>
      <c r="K11" s="18">
        <v>0</v>
      </c>
      <c r="L11" s="18">
        <f>J11-K11</f>
        <v>602501.15</v>
      </c>
      <c r="M11" s="21">
        <f>K11/$K$20</f>
        <v>0</v>
      </c>
    </row>
    <row r="12" spans="1:15" s="2" customFormat="1" ht="17.100000000000001" customHeight="1" x14ac:dyDescent="0.2">
      <c r="A12" s="7" t="s">
        <v>21</v>
      </c>
      <c r="B12" s="7" t="s">
        <v>22</v>
      </c>
      <c r="C12" s="18">
        <v>83500</v>
      </c>
      <c r="D12" s="18"/>
      <c r="E12" s="18"/>
      <c r="F12" s="18"/>
      <c r="G12" s="18"/>
      <c r="H12" s="18"/>
      <c r="I12" s="18"/>
      <c r="J12" s="18">
        <f t="shared" ref="J12:J18" si="0">C12+D12-E12+F12-G12+H12-I12</f>
        <v>83500</v>
      </c>
      <c r="K12" s="18">
        <f>18632+534</f>
        <v>19166</v>
      </c>
      <c r="L12" s="18">
        <f t="shared" ref="L12:L18" si="1">J12-K12</f>
        <v>64334</v>
      </c>
      <c r="M12" s="21">
        <f t="shared" ref="M12:M18" si="2">K12/$K$20</f>
        <v>8.0966528962453183E-2</v>
      </c>
    </row>
    <row r="13" spans="1:15" s="2" customFormat="1" ht="17.100000000000001" customHeight="1" x14ac:dyDescent="0.2">
      <c r="A13" s="8">
        <v>15.1</v>
      </c>
      <c r="B13" s="7" t="s">
        <v>23</v>
      </c>
      <c r="C13" s="18">
        <v>3000</v>
      </c>
      <c r="D13" s="18"/>
      <c r="E13" s="18"/>
      <c r="F13" s="18"/>
      <c r="G13" s="18"/>
      <c r="H13" s="18"/>
      <c r="I13" s="18"/>
      <c r="J13" s="18">
        <f t="shared" si="0"/>
        <v>3000</v>
      </c>
      <c r="K13" s="18">
        <v>124.33</v>
      </c>
      <c r="L13" s="18">
        <f t="shared" si="1"/>
        <v>2875.67</v>
      </c>
      <c r="M13" s="21">
        <f t="shared" si="2"/>
        <v>5.2523054084847149E-4</v>
      </c>
    </row>
    <row r="14" spans="1:15" s="2" customFormat="1" ht="17.100000000000001" customHeight="1" x14ac:dyDescent="0.2">
      <c r="A14" s="7" t="s">
        <v>24</v>
      </c>
      <c r="B14" s="7" t="s">
        <v>25</v>
      </c>
      <c r="C14" s="18">
        <v>2745062.93</v>
      </c>
      <c r="D14" s="18"/>
      <c r="E14" s="18"/>
      <c r="F14" s="18"/>
      <c r="G14" s="18"/>
      <c r="H14" s="18"/>
      <c r="I14" s="18"/>
      <c r="J14" s="18">
        <f t="shared" si="0"/>
        <v>2745062.93</v>
      </c>
      <c r="K14" s="18">
        <v>217424.77</v>
      </c>
      <c r="L14" s="18">
        <f>J14-K14</f>
        <v>2527638.16</v>
      </c>
      <c r="M14" s="21">
        <f t="shared" si="2"/>
        <v>0.91850824049669844</v>
      </c>
    </row>
    <row r="15" spans="1:15" s="2" customFormat="1" ht="17.100000000000001" customHeight="1" x14ac:dyDescent="0.2">
      <c r="A15" s="7" t="s">
        <v>26</v>
      </c>
      <c r="B15" s="7" t="s">
        <v>27</v>
      </c>
      <c r="C15" s="18">
        <v>4934974.71</v>
      </c>
      <c r="D15" s="18"/>
      <c r="E15" s="18"/>
      <c r="F15" s="18"/>
      <c r="G15" s="18"/>
      <c r="H15" s="18"/>
      <c r="I15" s="18"/>
      <c r="J15" s="18">
        <f t="shared" si="0"/>
        <v>4934974.71</v>
      </c>
      <c r="K15" s="18">
        <v>0</v>
      </c>
      <c r="L15" s="18">
        <f t="shared" si="1"/>
        <v>4934974.71</v>
      </c>
      <c r="M15" s="21">
        <f t="shared" si="2"/>
        <v>0</v>
      </c>
    </row>
    <row r="16" spans="1:15" s="2" customFormat="1" ht="17.100000000000001" customHeight="1" x14ac:dyDescent="0.2">
      <c r="A16" s="7" t="s">
        <v>28</v>
      </c>
      <c r="B16" s="7" t="s">
        <v>29</v>
      </c>
      <c r="C16" s="18">
        <v>1290000</v>
      </c>
      <c r="D16" s="18"/>
      <c r="E16" s="18"/>
      <c r="F16" s="18"/>
      <c r="G16" s="18"/>
      <c r="H16" s="18"/>
      <c r="I16" s="18"/>
      <c r="J16" s="18">
        <f t="shared" si="0"/>
        <v>1290000</v>
      </c>
      <c r="K16" s="18">
        <v>0</v>
      </c>
      <c r="L16" s="18">
        <f t="shared" si="1"/>
        <v>1290000</v>
      </c>
      <c r="M16" s="21">
        <f t="shared" si="2"/>
        <v>0</v>
      </c>
    </row>
    <row r="17" spans="1:13" s="2" customFormat="1" ht="17.100000000000001" customHeight="1" x14ac:dyDescent="0.2">
      <c r="A17" s="7" t="s">
        <v>30</v>
      </c>
      <c r="B17" s="7" t="s">
        <v>31</v>
      </c>
      <c r="C17" s="18">
        <v>20000</v>
      </c>
      <c r="D17" s="18"/>
      <c r="E17" s="18"/>
      <c r="F17" s="18"/>
      <c r="G17" s="18"/>
      <c r="H17" s="18"/>
      <c r="I17" s="18"/>
      <c r="J17" s="18">
        <f t="shared" si="0"/>
        <v>20000</v>
      </c>
      <c r="K17" s="18">
        <v>0</v>
      </c>
      <c r="L17" s="18">
        <f t="shared" si="1"/>
        <v>20000</v>
      </c>
      <c r="M17" s="21">
        <f t="shared" si="2"/>
        <v>0</v>
      </c>
    </row>
    <row r="18" spans="1:13" s="2" customFormat="1" ht="17.100000000000001" customHeight="1" x14ac:dyDescent="0.2">
      <c r="A18" s="7"/>
      <c r="B18" s="7" t="s">
        <v>32</v>
      </c>
      <c r="C18" s="18">
        <f>850000+14137.2+261097.2</f>
        <v>1125234.3999999999</v>
      </c>
      <c r="D18" s="18"/>
      <c r="E18" s="18"/>
      <c r="F18" s="18"/>
      <c r="G18" s="18"/>
      <c r="H18" s="18"/>
      <c r="I18" s="18"/>
      <c r="J18" s="18">
        <f t="shared" si="0"/>
        <v>1125234.3999999999</v>
      </c>
      <c r="K18" s="18">
        <v>0</v>
      </c>
      <c r="L18" s="18">
        <f t="shared" si="1"/>
        <v>1125234.3999999999</v>
      </c>
      <c r="M18" s="21">
        <f t="shared" si="2"/>
        <v>0</v>
      </c>
    </row>
    <row r="19" spans="1:13" s="2" customFormat="1" ht="17.100000000000001" customHeight="1" thickBot="1" x14ac:dyDescent="0.25">
      <c r="A19" s="7"/>
      <c r="B19" s="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1"/>
    </row>
    <row r="20" spans="1:13" s="2" customFormat="1" ht="17.100000000000001" customHeight="1" thickBot="1" x14ac:dyDescent="0.3">
      <c r="A20" s="13"/>
      <c r="B20" s="13" t="s">
        <v>33</v>
      </c>
      <c r="C20" s="19">
        <f>SUM(C11:C18)</f>
        <v>10804273.189999999</v>
      </c>
      <c r="D20" s="19">
        <f t="shared" ref="D20:L20" si="3">SUM(D11:D18)</f>
        <v>0</v>
      </c>
      <c r="E20" s="19">
        <f t="shared" si="3"/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3"/>
        <v>0</v>
      </c>
      <c r="J20" s="19">
        <f t="shared" si="3"/>
        <v>10804273.189999999</v>
      </c>
      <c r="K20" s="19">
        <f t="shared" si="3"/>
        <v>236715.09999999998</v>
      </c>
      <c r="L20" s="19">
        <f t="shared" si="3"/>
        <v>10567558.090000002</v>
      </c>
      <c r="M20" s="23">
        <v>0</v>
      </c>
    </row>
    <row r="21" spans="1:13" s="2" customFormat="1" ht="17.100000000000001" customHeight="1" x14ac:dyDescent="0.2">
      <c r="A21" s="6"/>
      <c r="B21" s="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4"/>
    </row>
    <row r="22" spans="1:13" s="2" customFormat="1" ht="17.100000000000001" customHeight="1" x14ac:dyDescent="0.25">
      <c r="A22" s="16" t="s">
        <v>4</v>
      </c>
      <c r="B22" s="29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1"/>
    </row>
    <row r="23" spans="1:13" s="2" customFormat="1" ht="17.100000000000001" customHeight="1" x14ac:dyDescent="0.25">
      <c r="A23" s="16"/>
      <c r="B23" s="2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/>
    </row>
    <row r="24" spans="1:13" s="2" customFormat="1" ht="17.100000000000001" customHeight="1" x14ac:dyDescent="0.25">
      <c r="A24" s="27">
        <v>0</v>
      </c>
      <c r="B24" s="17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1"/>
    </row>
    <row r="25" spans="1:13" s="2" customFormat="1" ht="17.100000000000001" customHeight="1" x14ac:dyDescent="0.2">
      <c r="A25" s="26" t="s">
        <v>36</v>
      </c>
      <c r="B25" s="7" t="s">
        <v>106</v>
      </c>
      <c r="C25" s="18">
        <v>773194.52</v>
      </c>
      <c r="D25" s="18"/>
      <c r="E25" s="18"/>
      <c r="F25" s="18"/>
      <c r="G25" s="18"/>
      <c r="H25" s="18"/>
      <c r="I25" s="18"/>
      <c r="J25" s="18">
        <f t="shared" ref="J25:J36" si="4">C25+D25-E25+F25-G25+H25-I25</f>
        <v>773194.52</v>
      </c>
      <c r="K25" s="18">
        <v>59476.21</v>
      </c>
      <c r="L25" s="18">
        <f t="shared" ref="L25:L86" si="5">J25-K25</f>
        <v>713718.31</v>
      </c>
      <c r="M25" s="21">
        <f t="shared" ref="M25:M36" si="6">K25/$K$120</f>
        <v>0.68033637388032764</v>
      </c>
    </row>
    <row r="26" spans="1:13" s="2" customFormat="1" ht="17.100000000000001" customHeight="1" x14ac:dyDescent="0.2">
      <c r="A26" s="26" t="s">
        <v>37</v>
      </c>
      <c r="B26" s="7" t="s">
        <v>107</v>
      </c>
      <c r="C26" s="18">
        <v>4500</v>
      </c>
      <c r="D26" s="18"/>
      <c r="E26" s="18"/>
      <c r="F26" s="18"/>
      <c r="G26" s="18"/>
      <c r="H26" s="18"/>
      <c r="I26" s="18"/>
      <c r="J26" s="18">
        <f t="shared" si="4"/>
        <v>4500</v>
      </c>
      <c r="K26" s="18">
        <v>375</v>
      </c>
      <c r="L26" s="18">
        <f t="shared" si="5"/>
        <v>4125</v>
      </c>
      <c r="M26" s="21">
        <f t="shared" si="6"/>
        <v>4.2895493879842516E-3</v>
      </c>
    </row>
    <row r="27" spans="1:13" s="2" customFormat="1" ht="17.100000000000001" customHeight="1" x14ac:dyDescent="0.2">
      <c r="A27" s="26" t="s">
        <v>38</v>
      </c>
      <c r="B27" s="7" t="s">
        <v>108</v>
      </c>
      <c r="C27" s="18">
        <v>140850</v>
      </c>
      <c r="D27" s="18"/>
      <c r="E27" s="18"/>
      <c r="F27" s="18"/>
      <c r="G27" s="18"/>
      <c r="H27" s="18"/>
      <c r="I27" s="18"/>
      <c r="J27" s="18">
        <f t="shared" si="4"/>
        <v>140850</v>
      </c>
      <c r="K27" s="18">
        <v>8500</v>
      </c>
      <c r="L27" s="18">
        <f t="shared" si="5"/>
        <v>132350</v>
      </c>
      <c r="M27" s="21">
        <f t="shared" si="6"/>
        <v>9.7229786127643048E-2</v>
      </c>
    </row>
    <row r="28" spans="1:13" s="2" customFormat="1" ht="17.100000000000001" hidden="1" customHeight="1" x14ac:dyDescent="0.2">
      <c r="A28" s="26" t="s">
        <v>39</v>
      </c>
      <c r="B28" s="7" t="s">
        <v>109</v>
      </c>
      <c r="C28" s="18">
        <v>0</v>
      </c>
      <c r="D28" s="18"/>
      <c r="E28" s="18"/>
      <c r="F28" s="18"/>
      <c r="G28" s="18"/>
      <c r="H28" s="18"/>
      <c r="I28" s="18"/>
      <c r="J28" s="18">
        <f t="shared" si="4"/>
        <v>0</v>
      </c>
      <c r="K28" s="18"/>
      <c r="L28" s="18">
        <f t="shared" si="5"/>
        <v>0</v>
      </c>
      <c r="M28" s="21">
        <f t="shared" si="6"/>
        <v>0</v>
      </c>
    </row>
    <row r="29" spans="1:13" s="2" customFormat="1" ht="17.100000000000001" hidden="1" customHeight="1" x14ac:dyDescent="0.2">
      <c r="A29" s="26" t="s">
        <v>40</v>
      </c>
      <c r="B29" s="7" t="s">
        <v>109</v>
      </c>
      <c r="C29" s="18">
        <v>0</v>
      </c>
      <c r="D29" s="18"/>
      <c r="E29" s="18"/>
      <c r="F29" s="18"/>
      <c r="G29" s="18"/>
      <c r="H29" s="18"/>
      <c r="I29" s="18"/>
      <c r="J29" s="18">
        <f t="shared" si="4"/>
        <v>0</v>
      </c>
      <c r="K29" s="18">
        <v>0</v>
      </c>
      <c r="L29" s="18">
        <f t="shared" si="5"/>
        <v>0</v>
      </c>
      <c r="M29" s="21">
        <f t="shared" si="6"/>
        <v>0</v>
      </c>
    </row>
    <row r="30" spans="1:13" s="2" customFormat="1" ht="17.100000000000001" customHeight="1" x14ac:dyDescent="0.2">
      <c r="A30" s="26" t="s">
        <v>41</v>
      </c>
      <c r="B30" s="7" t="s">
        <v>110</v>
      </c>
      <c r="C30" s="18">
        <v>15400</v>
      </c>
      <c r="D30" s="18"/>
      <c r="E30" s="18"/>
      <c r="F30" s="18"/>
      <c r="G30" s="18"/>
      <c r="H30" s="18"/>
      <c r="I30" s="18"/>
      <c r="J30" s="18">
        <f t="shared" si="4"/>
        <v>15400</v>
      </c>
      <c r="K30" s="18">
        <v>0</v>
      </c>
      <c r="L30" s="18">
        <f t="shared" si="5"/>
        <v>15400</v>
      </c>
      <c r="M30" s="21">
        <f t="shared" si="6"/>
        <v>0</v>
      </c>
    </row>
    <row r="31" spans="1:13" s="2" customFormat="1" ht="17.100000000000001" customHeight="1" x14ac:dyDescent="0.2">
      <c r="A31" s="26" t="s">
        <v>42</v>
      </c>
      <c r="B31" s="7" t="s">
        <v>111</v>
      </c>
      <c r="C31" s="18">
        <v>42629.35</v>
      </c>
      <c r="D31" s="18"/>
      <c r="E31" s="18"/>
      <c r="F31" s="18"/>
      <c r="G31" s="18"/>
      <c r="H31" s="18"/>
      <c r="I31" s="18"/>
      <c r="J31" s="18">
        <f t="shared" si="4"/>
        <v>42629.35</v>
      </c>
      <c r="K31" s="18">
        <v>624.65000000000009</v>
      </c>
      <c r="L31" s="18">
        <f t="shared" si="5"/>
        <v>42004.7</v>
      </c>
      <c r="M31" s="21">
        <f t="shared" si="6"/>
        <v>7.1452454005449693E-3</v>
      </c>
    </row>
    <row r="32" spans="1:13" s="2" customFormat="1" ht="17.100000000000001" customHeight="1" x14ac:dyDescent="0.2">
      <c r="A32" s="26" t="s">
        <v>43</v>
      </c>
      <c r="B32" s="7" t="s">
        <v>112</v>
      </c>
      <c r="C32" s="18">
        <v>89741</v>
      </c>
      <c r="D32" s="18"/>
      <c r="E32" s="18"/>
      <c r="F32" s="18"/>
      <c r="G32" s="18"/>
      <c r="H32" s="18"/>
      <c r="I32" s="18"/>
      <c r="J32" s="18">
        <f t="shared" si="4"/>
        <v>89741</v>
      </c>
      <c r="K32" s="18">
        <v>0</v>
      </c>
      <c r="L32" s="18">
        <f t="shared" si="5"/>
        <v>89741</v>
      </c>
      <c r="M32" s="21">
        <f t="shared" si="6"/>
        <v>0</v>
      </c>
    </row>
    <row r="33" spans="1:15" ht="17.100000000000001" customHeight="1" x14ac:dyDescent="0.2">
      <c r="A33" s="26" t="s">
        <v>44</v>
      </c>
      <c r="B33" s="7" t="s">
        <v>113</v>
      </c>
      <c r="C33" s="18">
        <v>7478.416666666667</v>
      </c>
      <c r="D33" s="18"/>
      <c r="E33" s="18"/>
      <c r="F33" s="18"/>
      <c r="G33" s="18"/>
      <c r="H33" s="18"/>
      <c r="I33" s="18"/>
      <c r="J33" s="18">
        <f t="shared" si="4"/>
        <v>7478.416666666667</v>
      </c>
      <c r="K33" s="18">
        <v>0</v>
      </c>
      <c r="L33" s="18">
        <f t="shared" si="5"/>
        <v>7478.416666666667</v>
      </c>
      <c r="M33" s="21">
        <f t="shared" si="6"/>
        <v>0</v>
      </c>
      <c r="N33" s="2"/>
      <c r="O33" s="2"/>
    </row>
    <row r="34" spans="1:15" ht="17.100000000000001" customHeight="1" x14ac:dyDescent="0.2">
      <c r="A34" s="26" t="s">
        <v>45</v>
      </c>
      <c r="B34" s="7" t="s">
        <v>46</v>
      </c>
      <c r="C34" s="18">
        <v>64432.876666666663</v>
      </c>
      <c r="D34" s="18"/>
      <c r="E34" s="18"/>
      <c r="F34" s="18"/>
      <c r="G34" s="18"/>
      <c r="H34" s="18"/>
      <c r="I34" s="18"/>
      <c r="J34" s="18">
        <f t="shared" si="4"/>
        <v>64432.876666666663</v>
      </c>
      <c r="K34" s="18">
        <v>0</v>
      </c>
      <c r="L34" s="18">
        <f t="shared" si="5"/>
        <v>64432.876666666663</v>
      </c>
      <c r="M34" s="21">
        <f t="shared" si="6"/>
        <v>0</v>
      </c>
      <c r="N34" s="2"/>
      <c r="O34" s="2"/>
    </row>
    <row r="35" spans="1:15" ht="17.100000000000001" customHeight="1" x14ac:dyDescent="0.2">
      <c r="A35" s="26" t="s">
        <v>47</v>
      </c>
      <c r="B35" s="7" t="s">
        <v>114</v>
      </c>
      <c r="C35" s="18">
        <v>64432.876666666663</v>
      </c>
      <c r="D35" s="18"/>
      <c r="E35" s="18"/>
      <c r="F35" s="18"/>
      <c r="G35" s="18"/>
      <c r="H35" s="18"/>
      <c r="I35" s="18"/>
      <c r="J35" s="18">
        <f t="shared" si="4"/>
        <v>64432.876666666663</v>
      </c>
      <c r="K35" s="18">
        <v>0</v>
      </c>
      <c r="L35" s="18">
        <f t="shared" si="5"/>
        <v>64432.876666666663</v>
      </c>
      <c r="M35" s="21">
        <f t="shared" si="6"/>
        <v>0</v>
      </c>
      <c r="N35" s="2"/>
      <c r="O35" s="2"/>
    </row>
    <row r="36" spans="1:15" ht="17.100000000000001" customHeight="1" x14ac:dyDescent="0.2">
      <c r="A36" s="26" t="s">
        <v>48</v>
      </c>
      <c r="B36" s="7" t="s">
        <v>49</v>
      </c>
      <c r="C36" s="18">
        <v>4000</v>
      </c>
      <c r="D36" s="18"/>
      <c r="E36" s="18"/>
      <c r="F36" s="18"/>
      <c r="G36" s="18"/>
      <c r="H36" s="18"/>
      <c r="I36" s="18"/>
      <c r="J36" s="18">
        <f t="shared" si="4"/>
        <v>4000</v>
      </c>
      <c r="K36" s="18">
        <v>0</v>
      </c>
      <c r="L36" s="18">
        <f t="shared" si="5"/>
        <v>4000</v>
      </c>
      <c r="M36" s="21">
        <f t="shared" si="6"/>
        <v>0</v>
      </c>
      <c r="N36" s="2"/>
      <c r="O36" s="2"/>
    </row>
    <row r="37" spans="1:15" ht="17.100000000000001" customHeight="1" x14ac:dyDescent="0.2">
      <c r="A37" s="26"/>
      <c r="B37" s="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1"/>
      <c r="N37" s="2"/>
      <c r="O37" s="2"/>
    </row>
    <row r="38" spans="1:15" ht="17.100000000000001" customHeight="1" x14ac:dyDescent="0.25">
      <c r="A38" s="27">
        <v>1</v>
      </c>
      <c r="B38" s="17" t="s">
        <v>50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1"/>
      <c r="N38" s="2"/>
      <c r="O38" s="2"/>
    </row>
    <row r="39" spans="1:15" ht="17.100000000000001" customHeight="1" x14ac:dyDescent="0.2">
      <c r="A39" s="26" t="s">
        <v>115</v>
      </c>
      <c r="B39" s="7" t="s">
        <v>51</v>
      </c>
      <c r="C39" s="18">
        <v>11723.320000000002</v>
      </c>
      <c r="D39" s="18"/>
      <c r="E39" s="18"/>
      <c r="F39" s="18"/>
      <c r="G39" s="18"/>
      <c r="H39" s="18"/>
      <c r="I39" s="18"/>
      <c r="J39" s="18">
        <f t="shared" ref="J39:J88" si="7">C39+D39-E39+F39-G39+H39-I39</f>
        <v>11723.320000000002</v>
      </c>
      <c r="K39" s="18">
        <v>316.08</v>
      </c>
      <c r="L39" s="18">
        <f t="shared" si="5"/>
        <v>11407.240000000002</v>
      </c>
      <c r="M39" s="21">
        <f t="shared" ref="M39:M72" si="8">K39/$K$120</f>
        <v>3.6155753881441663E-3</v>
      </c>
      <c r="N39" s="2"/>
      <c r="O39" s="2"/>
    </row>
    <row r="40" spans="1:15" ht="17.100000000000001" customHeight="1" x14ac:dyDescent="0.2">
      <c r="A40" s="26" t="s">
        <v>116</v>
      </c>
      <c r="B40" s="7" t="s">
        <v>52</v>
      </c>
      <c r="C40" s="18">
        <v>24780</v>
      </c>
      <c r="D40" s="18"/>
      <c r="E40" s="18"/>
      <c r="F40" s="18"/>
      <c r="G40" s="18"/>
      <c r="H40" s="18"/>
      <c r="I40" s="18"/>
      <c r="J40" s="18">
        <f t="shared" si="7"/>
        <v>24780</v>
      </c>
      <c r="K40" s="18">
        <v>4170</v>
      </c>
      <c r="L40" s="18">
        <f t="shared" si="5"/>
        <v>20610</v>
      </c>
      <c r="M40" s="21">
        <f t="shared" si="8"/>
        <v>4.7699789194384883E-2</v>
      </c>
      <c r="N40" s="2"/>
      <c r="O40" s="2"/>
    </row>
    <row r="41" spans="1:15" ht="17.100000000000001" customHeight="1" x14ac:dyDescent="0.2">
      <c r="A41" s="26" t="s">
        <v>117</v>
      </c>
      <c r="B41" s="7" t="s">
        <v>53</v>
      </c>
      <c r="C41" s="18">
        <v>2500</v>
      </c>
      <c r="D41" s="18"/>
      <c r="E41" s="18"/>
      <c r="F41" s="18"/>
      <c r="G41" s="18"/>
      <c r="H41" s="18"/>
      <c r="I41" s="18"/>
      <c r="J41" s="18">
        <f t="shared" si="7"/>
        <v>2500</v>
      </c>
      <c r="K41" s="18">
        <v>0</v>
      </c>
      <c r="L41" s="18">
        <f t="shared" si="5"/>
        <v>2500</v>
      </c>
      <c r="M41" s="21">
        <f t="shared" si="8"/>
        <v>0</v>
      </c>
      <c r="N41" s="2"/>
      <c r="O41" s="2"/>
    </row>
    <row r="42" spans="1:15" ht="17.100000000000001" customHeight="1" x14ac:dyDescent="0.2">
      <c r="A42" s="26" t="s">
        <v>118</v>
      </c>
      <c r="B42" s="7" t="s">
        <v>54</v>
      </c>
      <c r="C42" s="18">
        <v>4464</v>
      </c>
      <c r="D42" s="18"/>
      <c r="E42" s="18"/>
      <c r="F42" s="18"/>
      <c r="G42" s="18"/>
      <c r="H42" s="18"/>
      <c r="I42" s="18"/>
      <c r="J42" s="18">
        <f t="shared" si="7"/>
        <v>4464</v>
      </c>
      <c r="K42" s="18">
        <v>2479.04</v>
      </c>
      <c r="L42" s="18">
        <f t="shared" si="5"/>
        <v>1984.96</v>
      </c>
      <c r="M42" s="21">
        <f t="shared" si="8"/>
        <v>2.8357238706102614E-2</v>
      </c>
      <c r="N42" s="2"/>
      <c r="O42" s="2"/>
    </row>
    <row r="43" spans="1:15" ht="17.100000000000001" customHeight="1" x14ac:dyDescent="0.2">
      <c r="A43" s="26" t="s">
        <v>119</v>
      </c>
      <c r="B43" s="7" t="s">
        <v>120</v>
      </c>
      <c r="C43" s="18">
        <v>12200</v>
      </c>
      <c r="D43" s="18"/>
      <c r="E43" s="18"/>
      <c r="F43" s="18"/>
      <c r="G43" s="18"/>
      <c r="H43" s="18"/>
      <c r="I43" s="18"/>
      <c r="J43" s="18">
        <f t="shared" si="7"/>
        <v>12200</v>
      </c>
      <c r="K43" s="18">
        <v>3624</v>
      </c>
      <c r="L43" s="18">
        <f t="shared" si="5"/>
        <v>8576</v>
      </c>
      <c r="M43" s="21">
        <f t="shared" si="8"/>
        <v>4.1454205285479814E-2</v>
      </c>
      <c r="N43" s="2"/>
      <c r="O43" s="2"/>
    </row>
    <row r="44" spans="1:15" ht="17.100000000000001" customHeight="1" x14ac:dyDescent="0.2">
      <c r="A44" s="26" t="s">
        <v>121</v>
      </c>
      <c r="B44" s="7" t="s">
        <v>122</v>
      </c>
      <c r="C44" s="18">
        <v>1218400</v>
      </c>
      <c r="D44" s="18"/>
      <c r="E44" s="18"/>
      <c r="F44" s="18"/>
      <c r="G44" s="18"/>
      <c r="H44" s="18"/>
      <c r="I44" s="18"/>
      <c r="J44" s="18">
        <f t="shared" si="7"/>
        <v>1218400</v>
      </c>
      <c r="K44" s="18">
        <v>0</v>
      </c>
      <c r="L44" s="18">
        <f t="shared" si="5"/>
        <v>1218400</v>
      </c>
      <c r="M44" s="21">
        <f t="shared" si="8"/>
        <v>0</v>
      </c>
      <c r="N44" s="2"/>
      <c r="O44" s="2"/>
    </row>
    <row r="45" spans="1:15" ht="17.100000000000001" hidden="1" customHeight="1" x14ac:dyDescent="0.2">
      <c r="A45" s="26" t="s">
        <v>123</v>
      </c>
      <c r="B45" s="7" t="s">
        <v>124</v>
      </c>
      <c r="C45" s="18">
        <v>0</v>
      </c>
      <c r="D45" s="18"/>
      <c r="E45" s="18"/>
      <c r="F45" s="18"/>
      <c r="G45" s="18"/>
      <c r="H45" s="18"/>
      <c r="I45" s="18"/>
      <c r="J45" s="18">
        <f t="shared" si="7"/>
        <v>0</v>
      </c>
      <c r="K45" s="18">
        <v>0</v>
      </c>
      <c r="L45" s="18">
        <f t="shared" si="5"/>
        <v>0</v>
      </c>
      <c r="M45" s="21">
        <f t="shared" si="8"/>
        <v>0</v>
      </c>
      <c r="N45" s="2"/>
      <c r="O45" s="2"/>
    </row>
    <row r="46" spans="1:15" ht="17.100000000000001" hidden="1" customHeight="1" x14ac:dyDescent="0.2">
      <c r="A46" s="26" t="s">
        <v>125</v>
      </c>
      <c r="B46" s="7" t="s">
        <v>126</v>
      </c>
      <c r="C46" s="18">
        <v>0</v>
      </c>
      <c r="D46" s="18"/>
      <c r="E46" s="18"/>
      <c r="F46" s="18"/>
      <c r="G46" s="18"/>
      <c r="H46" s="18"/>
      <c r="I46" s="18"/>
      <c r="J46" s="18">
        <f t="shared" si="7"/>
        <v>0</v>
      </c>
      <c r="K46" s="18">
        <v>0</v>
      </c>
      <c r="L46" s="18">
        <f t="shared" si="5"/>
        <v>0</v>
      </c>
      <c r="M46" s="21">
        <f t="shared" si="8"/>
        <v>0</v>
      </c>
      <c r="N46" s="2"/>
      <c r="O46" s="2"/>
    </row>
    <row r="47" spans="1:15" ht="17.100000000000001" customHeight="1" x14ac:dyDescent="0.2">
      <c r="A47" s="26" t="s">
        <v>127</v>
      </c>
      <c r="B47" s="7" t="s">
        <v>55</v>
      </c>
      <c r="C47" s="18">
        <v>104664</v>
      </c>
      <c r="D47" s="18"/>
      <c r="E47" s="18"/>
      <c r="F47" s="18"/>
      <c r="G47" s="18"/>
      <c r="H47" s="18"/>
      <c r="I47" s="18"/>
      <c r="J47" s="18">
        <f t="shared" si="7"/>
        <v>104664</v>
      </c>
      <c r="K47" s="18">
        <v>0</v>
      </c>
      <c r="L47" s="18">
        <f t="shared" si="5"/>
        <v>104664</v>
      </c>
      <c r="M47" s="21">
        <f t="shared" si="8"/>
        <v>0</v>
      </c>
      <c r="N47" s="2"/>
      <c r="O47" s="2"/>
    </row>
    <row r="48" spans="1:15" ht="17.100000000000001" customHeight="1" x14ac:dyDescent="0.2">
      <c r="A48" s="26" t="s">
        <v>128</v>
      </c>
      <c r="B48" s="7" t="s">
        <v>129</v>
      </c>
      <c r="C48" s="18">
        <v>459374.84</v>
      </c>
      <c r="D48" s="18"/>
      <c r="E48" s="18"/>
      <c r="F48" s="18"/>
      <c r="G48" s="18"/>
      <c r="H48" s="18"/>
      <c r="I48" s="18"/>
      <c r="J48" s="18">
        <f t="shared" si="7"/>
        <v>459374.84</v>
      </c>
      <c r="K48" s="18">
        <v>0</v>
      </c>
      <c r="L48" s="18">
        <f t="shared" si="5"/>
        <v>459374.84</v>
      </c>
      <c r="M48" s="21">
        <f t="shared" si="8"/>
        <v>0</v>
      </c>
      <c r="N48" s="2"/>
      <c r="O48" s="2"/>
    </row>
    <row r="49" spans="1:15" ht="17.100000000000001" customHeight="1" x14ac:dyDescent="0.2">
      <c r="A49" s="26" t="s">
        <v>130</v>
      </c>
      <c r="B49" s="7" t="s">
        <v>56</v>
      </c>
      <c r="C49" s="18">
        <v>9000</v>
      </c>
      <c r="D49" s="18"/>
      <c r="E49" s="18"/>
      <c r="F49" s="18"/>
      <c r="G49" s="18"/>
      <c r="H49" s="18"/>
      <c r="I49" s="18"/>
      <c r="J49" s="18">
        <f t="shared" si="7"/>
        <v>9000</v>
      </c>
      <c r="K49" s="18">
        <v>0</v>
      </c>
      <c r="L49" s="18">
        <f t="shared" si="5"/>
        <v>9000</v>
      </c>
      <c r="M49" s="21">
        <f t="shared" si="8"/>
        <v>0</v>
      </c>
      <c r="N49" s="2"/>
      <c r="O49" s="2"/>
    </row>
    <row r="50" spans="1:15" ht="17.100000000000001" customHeight="1" x14ac:dyDescent="0.2">
      <c r="A50" s="26" t="s">
        <v>131</v>
      </c>
      <c r="B50" s="7" t="s">
        <v>57</v>
      </c>
      <c r="C50" s="18">
        <v>25000</v>
      </c>
      <c r="D50" s="18"/>
      <c r="E50" s="18"/>
      <c r="F50" s="18"/>
      <c r="G50" s="18"/>
      <c r="H50" s="18"/>
      <c r="I50" s="18"/>
      <c r="J50" s="18">
        <f t="shared" si="7"/>
        <v>25000</v>
      </c>
      <c r="K50" s="18">
        <v>0</v>
      </c>
      <c r="L50" s="18">
        <f t="shared" si="5"/>
        <v>25000</v>
      </c>
      <c r="M50" s="21">
        <f t="shared" si="8"/>
        <v>0</v>
      </c>
      <c r="N50" s="2"/>
      <c r="O50" s="2"/>
    </row>
    <row r="51" spans="1:15" ht="17.100000000000001" customHeight="1" x14ac:dyDescent="0.2">
      <c r="A51" s="26" t="s">
        <v>132</v>
      </c>
      <c r="B51" s="7" t="s">
        <v>133</v>
      </c>
      <c r="C51" s="18">
        <v>70560</v>
      </c>
      <c r="D51" s="18"/>
      <c r="E51" s="18"/>
      <c r="F51" s="18"/>
      <c r="G51" s="18"/>
      <c r="H51" s="18"/>
      <c r="I51" s="18"/>
      <c r="J51" s="18">
        <f t="shared" si="7"/>
        <v>70560</v>
      </c>
      <c r="K51" s="18">
        <v>0</v>
      </c>
      <c r="L51" s="18">
        <f t="shared" si="5"/>
        <v>70560</v>
      </c>
      <c r="M51" s="21">
        <f t="shared" si="8"/>
        <v>0</v>
      </c>
      <c r="N51" s="2"/>
      <c r="O51" s="2"/>
    </row>
    <row r="52" spans="1:15" ht="17.100000000000001" customHeight="1" x14ac:dyDescent="0.2">
      <c r="A52" s="26" t="s">
        <v>134</v>
      </c>
      <c r="B52" s="7" t="s">
        <v>58</v>
      </c>
      <c r="C52" s="18">
        <v>35200</v>
      </c>
      <c r="D52" s="18"/>
      <c r="E52" s="18"/>
      <c r="F52" s="18"/>
      <c r="G52" s="18"/>
      <c r="H52" s="18"/>
      <c r="I52" s="18"/>
      <c r="J52" s="18">
        <f t="shared" si="7"/>
        <v>35200</v>
      </c>
      <c r="K52" s="18">
        <v>0</v>
      </c>
      <c r="L52" s="18">
        <f t="shared" si="5"/>
        <v>35200</v>
      </c>
      <c r="M52" s="21">
        <f t="shared" si="8"/>
        <v>0</v>
      </c>
      <c r="N52" s="2"/>
      <c r="O52" s="2"/>
    </row>
    <row r="53" spans="1:15" ht="17.100000000000001" customHeight="1" x14ac:dyDescent="0.2">
      <c r="A53" s="26" t="s">
        <v>135</v>
      </c>
      <c r="B53" s="7" t="s">
        <v>59</v>
      </c>
      <c r="C53" s="18">
        <v>6550</v>
      </c>
      <c r="D53" s="18"/>
      <c r="E53" s="18"/>
      <c r="F53" s="18"/>
      <c r="G53" s="18"/>
      <c r="H53" s="18"/>
      <c r="I53" s="18"/>
      <c r="J53" s="18">
        <f t="shared" si="7"/>
        <v>6550</v>
      </c>
      <c r="K53" s="18">
        <v>0</v>
      </c>
      <c r="L53" s="18">
        <f t="shared" si="5"/>
        <v>6550</v>
      </c>
      <c r="M53" s="21">
        <f t="shared" si="8"/>
        <v>0</v>
      </c>
      <c r="N53" s="2"/>
      <c r="O53" s="2"/>
    </row>
    <row r="54" spans="1:15" ht="17.100000000000001" customHeight="1" x14ac:dyDescent="0.2">
      <c r="A54" s="26" t="s">
        <v>136</v>
      </c>
      <c r="B54" s="7" t="s">
        <v>137</v>
      </c>
      <c r="C54" s="18">
        <v>2000</v>
      </c>
      <c r="D54" s="18"/>
      <c r="E54" s="18"/>
      <c r="F54" s="18"/>
      <c r="G54" s="18"/>
      <c r="H54" s="18"/>
      <c r="I54" s="18"/>
      <c r="J54" s="18">
        <f t="shared" si="7"/>
        <v>2000</v>
      </c>
      <c r="K54" s="18">
        <v>0</v>
      </c>
      <c r="L54" s="18">
        <f t="shared" si="5"/>
        <v>2000</v>
      </c>
      <c r="M54" s="21">
        <f t="shared" si="8"/>
        <v>0</v>
      </c>
      <c r="N54" s="2"/>
      <c r="O54" s="2"/>
    </row>
    <row r="55" spans="1:15" ht="17.100000000000001" customHeight="1" x14ac:dyDescent="0.2">
      <c r="A55" s="26" t="s">
        <v>138</v>
      </c>
      <c r="B55" s="7" t="s">
        <v>139</v>
      </c>
      <c r="C55" s="18">
        <v>10000</v>
      </c>
      <c r="D55" s="18"/>
      <c r="E55" s="18"/>
      <c r="F55" s="18"/>
      <c r="G55" s="18"/>
      <c r="H55" s="18"/>
      <c r="I55" s="18"/>
      <c r="J55" s="18">
        <f t="shared" si="7"/>
        <v>10000</v>
      </c>
      <c r="K55" s="18">
        <v>0</v>
      </c>
      <c r="L55" s="18">
        <f t="shared" si="5"/>
        <v>10000</v>
      </c>
      <c r="M55" s="21">
        <f t="shared" si="8"/>
        <v>0</v>
      </c>
      <c r="N55" s="2"/>
      <c r="O55" s="2"/>
    </row>
    <row r="56" spans="1:15" ht="17.100000000000001" customHeight="1" x14ac:dyDescent="0.2">
      <c r="A56" s="26" t="s">
        <v>140</v>
      </c>
      <c r="B56" s="7" t="s">
        <v>141</v>
      </c>
      <c r="C56" s="18">
        <v>6900</v>
      </c>
      <c r="D56" s="18"/>
      <c r="E56" s="18"/>
      <c r="F56" s="18"/>
      <c r="G56" s="18"/>
      <c r="H56" s="18"/>
      <c r="I56" s="18"/>
      <c r="J56" s="18">
        <f t="shared" si="7"/>
        <v>6900</v>
      </c>
      <c r="K56" s="18">
        <v>262.51</v>
      </c>
      <c r="L56" s="18">
        <f t="shared" si="5"/>
        <v>6637.49</v>
      </c>
      <c r="M56" s="21">
        <f t="shared" si="8"/>
        <v>3.0027989595726558E-3</v>
      </c>
      <c r="N56" s="2"/>
      <c r="O56" s="2"/>
    </row>
    <row r="57" spans="1:15" ht="17.100000000000001" customHeight="1" x14ac:dyDescent="0.2">
      <c r="A57" s="26" t="s">
        <v>142</v>
      </c>
      <c r="B57" s="7" t="s">
        <v>143</v>
      </c>
      <c r="C57" s="18">
        <v>3000</v>
      </c>
      <c r="D57" s="18"/>
      <c r="E57" s="18"/>
      <c r="F57" s="18"/>
      <c r="G57" s="18"/>
      <c r="H57" s="18"/>
      <c r="I57" s="18"/>
      <c r="J57" s="18">
        <f t="shared" si="7"/>
        <v>3000</v>
      </c>
      <c r="K57" s="18">
        <v>600</v>
      </c>
      <c r="L57" s="18">
        <f t="shared" si="5"/>
        <v>2400</v>
      </c>
      <c r="M57" s="21">
        <f t="shared" si="8"/>
        <v>6.8632790207748037E-3</v>
      </c>
      <c r="N57" s="2"/>
      <c r="O57" s="2"/>
    </row>
    <row r="58" spans="1:15" ht="17.100000000000001" customHeight="1" x14ac:dyDescent="0.2">
      <c r="A58" s="26" t="s">
        <v>144</v>
      </c>
      <c r="B58" s="7" t="s">
        <v>145</v>
      </c>
      <c r="C58" s="18">
        <v>5000</v>
      </c>
      <c r="D58" s="18"/>
      <c r="E58" s="18"/>
      <c r="F58" s="18"/>
      <c r="G58" s="18"/>
      <c r="H58" s="18"/>
      <c r="I58" s="18"/>
      <c r="J58" s="18">
        <f t="shared" si="7"/>
        <v>5000</v>
      </c>
      <c r="K58" s="18">
        <v>0</v>
      </c>
      <c r="L58" s="18">
        <f t="shared" si="5"/>
        <v>5000</v>
      </c>
      <c r="M58" s="21">
        <f t="shared" si="8"/>
        <v>0</v>
      </c>
      <c r="N58" s="2"/>
      <c r="O58" s="2"/>
    </row>
    <row r="59" spans="1:15" ht="17.100000000000001" customHeight="1" x14ac:dyDescent="0.2">
      <c r="A59" s="26" t="s">
        <v>146</v>
      </c>
      <c r="B59" s="7" t="s">
        <v>147</v>
      </c>
      <c r="C59" s="18">
        <v>180000</v>
      </c>
      <c r="D59" s="18"/>
      <c r="E59" s="18"/>
      <c r="F59" s="18"/>
      <c r="G59" s="18"/>
      <c r="H59" s="18"/>
      <c r="I59" s="18"/>
      <c r="J59" s="18">
        <f t="shared" si="7"/>
        <v>180000</v>
      </c>
      <c r="K59" s="18">
        <v>0</v>
      </c>
      <c r="L59" s="18">
        <f t="shared" si="5"/>
        <v>180000</v>
      </c>
      <c r="M59" s="21">
        <f t="shared" si="8"/>
        <v>0</v>
      </c>
      <c r="N59" s="2"/>
      <c r="O59" s="2"/>
    </row>
    <row r="60" spans="1:15" ht="17.100000000000001" hidden="1" customHeight="1" x14ac:dyDescent="0.2">
      <c r="A60" s="26" t="s">
        <v>148</v>
      </c>
      <c r="B60" s="7" t="s">
        <v>149</v>
      </c>
      <c r="C60" s="18">
        <v>0</v>
      </c>
      <c r="D60" s="18"/>
      <c r="E60" s="18"/>
      <c r="F60" s="18"/>
      <c r="G60" s="18"/>
      <c r="H60" s="18"/>
      <c r="I60" s="18"/>
      <c r="J60" s="18">
        <f t="shared" si="7"/>
        <v>0</v>
      </c>
      <c r="K60" s="18">
        <v>0</v>
      </c>
      <c r="L60" s="18">
        <f t="shared" si="5"/>
        <v>0</v>
      </c>
      <c r="M60" s="21">
        <f t="shared" si="8"/>
        <v>0</v>
      </c>
      <c r="N60" s="2"/>
      <c r="O60" s="2"/>
    </row>
    <row r="61" spans="1:15" ht="17.100000000000001" customHeight="1" x14ac:dyDescent="0.2">
      <c r="A61" s="26" t="s">
        <v>150</v>
      </c>
      <c r="B61" s="7" t="s">
        <v>151</v>
      </c>
      <c r="C61" s="18">
        <v>40600</v>
      </c>
      <c r="D61" s="18"/>
      <c r="E61" s="18"/>
      <c r="F61" s="18"/>
      <c r="G61" s="18"/>
      <c r="H61" s="18"/>
      <c r="I61" s="18"/>
      <c r="J61" s="18">
        <f t="shared" si="7"/>
        <v>40600</v>
      </c>
      <c r="K61" s="18">
        <v>0</v>
      </c>
      <c r="L61" s="18">
        <f t="shared" si="5"/>
        <v>40600</v>
      </c>
      <c r="M61" s="21">
        <f t="shared" si="8"/>
        <v>0</v>
      </c>
      <c r="N61" s="2"/>
      <c r="O61" s="2"/>
    </row>
    <row r="62" spans="1:15" ht="17.100000000000001" customHeight="1" x14ac:dyDescent="0.2">
      <c r="A62" s="26" t="s">
        <v>152</v>
      </c>
      <c r="B62" s="7" t="s">
        <v>153</v>
      </c>
      <c r="C62" s="18">
        <v>60000</v>
      </c>
      <c r="D62" s="18"/>
      <c r="E62" s="18"/>
      <c r="F62" s="18"/>
      <c r="G62" s="18"/>
      <c r="H62" s="18"/>
      <c r="I62" s="18"/>
      <c r="J62" s="18">
        <f t="shared" si="7"/>
        <v>60000</v>
      </c>
      <c r="K62" s="18">
        <v>0</v>
      </c>
      <c r="L62" s="18">
        <f t="shared" si="5"/>
        <v>60000</v>
      </c>
      <c r="M62" s="21">
        <f t="shared" si="8"/>
        <v>0</v>
      </c>
      <c r="N62" s="2"/>
      <c r="O62" s="2"/>
    </row>
    <row r="63" spans="1:15" ht="17.100000000000001" customHeight="1" x14ac:dyDescent="0.2">
      <c r="A63" s="26" t="s">
        <v>154</v>
      </c>
      <c r="B63" s="7" t="s">
        <v>60</v>
      </c>
      <c r="C63" s="18">
        <v>11300</v>
      </c>
      <c r="D63" s="18"/>
      <c r="E63" s="18"/>
      <c r="F63" s="18"/>
      <c r="G63" s="18"/>
      <c r="H63" s="18"/>
      <c r="I63" s="18"/>
      <c r="J63" s="18">
        <f t="shared" si="7"/>
        <v>11300</v>
      </c>
      <c r="K63" s="18">
        <v>0</v>
      </c>
      <c r="L63" s="18">
        <f t="shared" si="5"/>
        <v>11300</v>
      </c>
      <c r="M63" s="21">
        <f t="shared" si="8"/>
        <v>0</v>
      </c>
      <c r="N63" s="2"/>
      <c r="O63" s="2"/>
    </row>
    <row r="64" spans="1:15" ht="17.100000000000001" customHeight="1" x14ac:dyDescent="0.2">
      <c r="A64" s="26" t="s">
        <v>155</v>
      </c>
      <c r="B64" s="7" t="s">
        <v>156</v>
      </c>
      <c r="C64" s="18">
        <v>15500</v>
      </c>
      <c r="D64" s="18"/>
      <c r="E64" s="18"/>
      <c r="F64" s="18"/>
      <c r="G64" s="18"/>
      <c r="H64" s="18"/>
      <c r="I64" s="18"/>
      <c r="J64" s="18">
        <f t="shared" si="7"/>
        <v>15500</v>
      </c>
      <c r="K64" s="18">
        <v>0</v>
      </c>
      <c r="L64" s="18">
        <f t="shared" si="5"/>
        <v>15500</v>
      </c>
      <c r="M64" s="21">
        <f t="shared" si="8"/>
        <v>0</v>
      </c>
      <c r="N64" s="2"/>
      <c r="O64" s="2"/>
    </row>
    <row r="65" spans="1:15" ht="17.100000000000001" customHeight="1" x14ac:dyDescent="0.2">
      <c r="A65" s="26" t="s">
        <v>157</v>
      </c>
      <c r="B65" s="7" t="s">
        <v>61</v>
      </c>
      <c r="C65" s="18">
        <v>24394.959999999995</v>
      </c>
      <c r="D65" s="18"/>
      <c r="E65" s="18"/>
      <c r="F65" s="18"/>
      <c r="G65" s="18"/>
      <c r="H65" s="18"/>
      <c r="I65" s="18"/>
      <c r="J65" s="18">
        <f t="shared" si="7"/>
        <v>24394.959999999995</v>
      </c>
      <c r="K65" s="18">
        <v>0</v>
      </c>
      <c r="L65" s="18">
        <f t="shared" si="5"/>
        <v>24394.959999999995</v>
      </c>
      <c r="M65" s="21">
        <f t="shared" si="8"/>
        <v>0</v>
      </c>
      <c r="N65" s="2"/>
      <c r="O65" s="2"/>
    </row>
    <row r="66" spans="1:15" ht="17.100000000000001" customHeight="1" x14ac:dyDescent="0.2">
      <c r="A66" s="26" t="s">
        <v>158</v>
      </c>
      <c r="B66" s="7" t="s">
        <v>62</v>
      </c>
      <c r="C66" s="18">
        <v>80000</v>
      </c>
      <c r="D66" s="18"/>
      <c r="E66" s="18"/>
      <c r="F66" s="18"/>
      <c r="G66" s="18"/>
      <c r="H66" s="18"/>
      <c r="I66" s="18"/>
      <c r="J66" s="18">
        <f t="shared" si="7"/>
        <v>80000</v>
      </c>
      <c r="K66" s="18">
        <v>0</v>
      </c>
      <c r="L66" s="18">
        <f t="shared" si="5"/>
        <v>80000</v>
      </c>
      <c r="M66" s="21">
        <f t="shared" si="8"/>
        <v>0</v>
      </c>
      <c r="N66" s="2"/>
      <c r="O66" s="2"/>
    </row>
    <row r="67" spans="1:15" ht="17.100000000000001" customHeight="1" x14ac:dyDescent="0.2">
      <c r="A67" s="26" t="s">
        <v>159</v>
      </c>
      <c r="B67" s="7" t="s">
        <v>63</v>
      </c>
      <c r="C67" s="18">
        <v>244000</v>
      </c>
      <c r="D67" s="18"/>
      <c r="E67" s="18"/>
      <c r="F67" s="18"/>
      <c r="G67" s="18"/>
      <c r="H67" s="18"/>
      <c r="I67" s="18"/>
      <c r="J67" s="18">
        <f t="shared" si="7"/>
        <v>244000</v>
      </c>
      <c r="K67" s="18">
        <v>0</v>
      </c>
      <c r="L67" s="18">
        <f t="shared" si="5"/>
        <v>244000</v>
      </c>
      <c r="M67" s="21">
        <f t="shared" si="8"/>
        <v>0</v>
      </c>
      <c r="N67" s="2"/>
      <c r="O67" s="2"/>
    </row>
    <row r="68" spans="1:15" ht="17.100000000000001" customHeight="1" x14ac:dyDescent="0.2">
      <c r="A68" s="26" t="s">
        <v>160</v>
      </c>
      <c r="B68" s="7" t="s">
        <v>64</v>
      </c>
      <c r="C68" s="18">
        <v>11250</v>
      </c>
      <c r="D68" s="18"/>
      <c r="E68" s="18"/>
      <c r="F68" s="18"/>
      <c r="G68" s="18"/>
      <c r="H68" s="18"/>
      <c r="I68" s="18"/>
      <c r="J68" s="18">
        <f t="shared" si="7"/>
        <v>11250</v>
      </c>
      <c r="K68" s="18">
        <v>0</v>
      </c>
      <c r="L68" s="18">
        <f t="shared" si="5"/>
        <v>11250</v>
      </c>
      <c r="M68" s="21">
        <f t="shared" si="8"/>
        <v>0</v>
      </c>
      <c r="N68" s="2"/>
      <c r="O68" s="2"/>
    </row>
    <row r="69" spans="1:15" ht="17.100000000000001" customHeight="1" x14ac:dyDescent="0.2">
      <c r="A69" s="26" t="s">
        <v>161</v>
      </c>
      <c r="B69" s="7" t="s">
        <v>162</v>
      </c>
      <c r="C69" s="18">
        <v>5000</v>
      </c>
      <c r="D69" s="18"/>
      <c r="E69" s="18"/>
      <c r="F69" s="18"/>
      <c r="G69" s="18"/>
      <c r="H69" s="18"/>
      <c r="I69" s="18"/>
      <c r="J69" s="18">
        <f t="shared" si="7"/>
        <v>5000</v>
      </c>
      <c r="K69" s="18">
        <v>62.44</v>
      </c>
      <c r="L69" s="18">
        <f t="shared" si="5"/>
        <v>4937.5600000000004</v>
      </c>
      <c r="M69" s="21">
        <f t="shared" si="8"/>
        <v>7.1423857009529786E-4</v>
      </c>
      <c r="N69" s="2"/>
      <c r="O69" s="2"/>
    </row>
    <row r="70" spans="1:15" ht="17.100000000000001" customHeight="1" x14ac:dyDescent="0.2">
      <c r="A70" s="26" t="s">
        <v>163</v>
      </c>
      <c r="B70" s="7" t="s">
        <v>164</v>
      </c>
      <c r="C70" s="18">
        <v>5000</v>
      </c>
      <c r="D70" s="18"/>
      <c r="E70" s="18"/>
      <c r="F70" s="18"/>
      <c r="G70" s="18"/>
      <c r="H70" s="18"/>
      <c r="I70" s="18"/>
      <c r="J70" s="18">
        <f t="shared" si="7"/>
        <v>5000</v>
      </c>
      <c r="K70" s="18">
        <v>320.96000000000004</v>
      </c>
      <c r="L70" s="18">
        <f t="shared" si="5"/>
        <v>4679.04</v>
      </c>
      <c r="M70" s="21">
        <f t="shared" si="8"/>
        <v>3.671396724179802E-3</v>
      </c>
      <c r="N70" s="2"/>
      <c r="O70" s="2"/>
    </row>
    <row r="71" spans="1:15" ht="17.100000000000001" customHeight="1" x14ac:dyDescent="0.2">
      <c r="A71" s="26" t="s">
        <v>165</v>
      </c>
      <c r="B71" s="7" t="s">
        <v>65</v>
      </c>
      <c r="C71" s="18">
        <v>21150</v>
      </c>
      <c r="D71" s="18"/>
      <c r="E71" s="18"/>
      <c r="F71" s="18"/>
      <c r="G71" s="18"/>
      <c r="H71" s="18"/>
      <c r="I71" s="18"/>
      <c r="J71" s="18">
        <f t="shared" si="7"/>
        <v>21150</v>
      </c>
      <c r="K71" s="18">
        <v>0</v>
      </c>
      <c r="L71" s="18">
        <f t="shared" si="5"/>
        <v>21150</v>
      </c>
      <c r="M71" s="21">
        <f t="shared" si="8"/>
        <v>0</v>
      </c>
      <c r="N71" s="2"/>
      <c r="O71" s="2"/>
    </row>
    <row r="72" spans="1:15" ht="17.100000000000001" customHeight="1" x14ac:dyDescent="0.2">
      <c r="A72" s="26" t="s">
        <v>166</v>
      </c>
      <c r="B72" s="7" t="s">
        <v>167</v>
      </c>
      <c r="C72" s="18">
        <v>17000</v>
      </c>
      <c r="D72" s="18"/>
      <c r="E72" s="18"/>
      <c r="F72" s="18"/>
      <c r="G72" s="18"/>
      <c r="H72" s="18"/>
      <c r="I72" s="18"/>
      <c r="J72" s="18">
        <f t="shared" si="7"/>
        <v>17000</v>
      </c>
      <c r="K72" s="18">
        <v>119</v>
      </c>
      <c r="L72" s="18">
        <f t="shared" si="5"/>
        <v>16881</v>
      </c>
      <c r="M72" s="21">
        <f t="shared" si="8"/>
        <v>1.3612170057870027E-3</v>
      </c>
      <c r="N72" s="2"/>
      <c r="O72" s="2"/>
    </row>
    <row r="73" spans="1:15" ht="17.100000000000001" customHeight="1" x14ac:dyDescent="0.2">
      <c r="A73" s="26"/>
      <c r="B73" s="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21"/>
      <c r="N73" s="2"/>
      <c r="O73" s="2"/>
    </row>
    <row r="74" spans="1:15" ht="17.100000000000001" customHeight="1" x14ac:dyDescent="0.25">
      <c r="A74" s="27">
        <v>2</v>
      </c>
      <c r="B74" s="17" t="s">
        <v>66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1"/>
      <c r="N74" s="2"/>
      <c r="O74" s="2"/>
    </row>
    <row r="75" spans="1:15" ht="17.100000000000001" customHeight="1" x14ac:dyDescent="0.2">
      <c r="A75" s="26" t="s">
        <v>168</v>
      </c>
      <c r="B75" s="7" t="s">
        <v>67</v>
      </c>
      <c r="C75" s="18">
        <v>116357.64</v>
      </c>
      <c r="D75" s="18"/>
      <c r="E75" s="18"/>
      <c r="F75" s="18"/>
      <c r="G75" s="18"/>
      <c r="H75" s="18"/>
      <c r="I75" s="18"/>
      <c r="J75" s="18">
        <f t="shared" si="7"/>
        <v>116357.64</v>
      </c>
      <c r="K75" s="18">
        <v>3591.7499999999995</v>
      </c>
      <c r="L75" s="18">
        <f t="shared" si="5"/>
        <v>112765.89</v>
      </c>
      <c r="M75" s="21">
        <f t="shared" ref="M75:M101" si="9">K75/$K$120</f>
        <v>4.1085304038113162E-2</v>
      </c>
      <c r="N75" s="2"/>
      <c r="O75" s="2"/>
    </row>
    <row r="76" spans="1:15" ht="17.100000000000001" hidden="1" customHeight="1" x14ac:dyDescent="0.2">
      <c r="A76" s="26" t="s">
        <v>169</v>
      </c>
      <c r="B76" s="7" t="s">
        <v>68</v>
      </c>
      <c r="C76" s="18">
        <v>0</v>
      </c>
      <c r="D76" s="18"/>
      <c r="E76" s="18"/>
      <c r="F76" s="18"/>
      <c r="G76" s="18"/>
      <c r="H76" s="18"/>
      <c r="I76" s="18"/>
      <c r="J76" s="18">
        <f t="shared" si="7"/>
        <v>0</v>
      </c>
      <c r="K76" s="18"/>
      <c r="L76" s="18">
        <f t="shared" si="5"/>
        <v>0</v>
      </c>
      <c r="M76" s="21">
        <f t="shared" si="9"/>
        <v>0</v>
      </c>
      <c r="N76" s="2"/>
      <c r="O76" s="2"/>
    </row>
    <row r="77" spans="1:15" ht="17.100000000000001" customHeight="1" x14ac:dyDescent="0.2">
      <c r="A77" s="26" t="s">
        <v>170</v>
      </c>
      <c r="B77" s="7" t="s">
        <v>69</v>
      </c>
      <c r="C77" s="18">
        <v>2080</v>
      </c>
      <c r="D77" s="18"/>
      <c r="E77" s="18"/>
      <c r="F77" s="18"/>
      <c r="G77" s="18"/>
      <c r="H77" s="18"/>
      <c r="I77" s="18"/>
      <c r="J77" s="18">
        <f t="shared" si="7"/>
        <v>2080</v>
      </c>
      <c r="K77" s="18">
        <v>0</v>
      </c>
      <c r="L77" s="18">
        <f t="shared" si="5"/>
        <v>2080</v>
      </c>
      <c r="M77" s="21">
        <f t="shared" si="9"/>
        <v>0</v>
      </c>
      <c r="N77" s="2"/>
      <c r="O77" s="2"/>
    </row>
    <row r="78" spans="1:15" ht="17.100000000000001" customHeight="1" x14ac:dyDescent="0.2">
      <c r="A78" s="26" t="s">
        <v>171</v>
      </c>
      <c r="B78" s="7" t="s">
        <v>70</v>
      </c>
      <c r="C78" s="18">
        <v>62500</v>
      </c>
      <c r="D78" s="18"/>
      <c r="E78" s="18"/>
      <c r="F78" s="18"/>
      <c r="G78" s="18"/>
      <c r="H78" s="18"/>
      <c r="I78" s="18"/>
      <c r="J78" s="18">
        <f t="shared" si="7"/>
        <v>62500</v>
      </c>
      <c r="K78" s="18">
        <v>0</v>
      </c>
      <c r="L78" s="18">
        <f t="shared" si="5"/>
        <v>62500</v>
      </c>
      <c r="M78" s="21">
        <f t="shared" si="9"/>
        <v>0</v>
      </c>
      <c r="N78" s="2"/>
      <c r="O78" s="2"/>
    </row>
    <row r="79" spans="1:15" ht="17.100000000000001" customHeight="1" x14ac:dyDescent="0.2">
      <c r="A79" s="26" t="s">
        <v>172</v>
      </c>
      <c r="B79" s="7" t="s">
        <v>71</v>
      </c>
      <c r="C79" s="18">
        <v>6000</v>
      </c>
      <c r="D79" s="18"/>
      <c r="E79" s="18"/>
      <c r="F79" s="18"/>
      <c r="G79" s="18"/>
      <c r="H79" s="18"/>
      <c r="I79" s="18"/>
      <c r="J79" s="18">
        <f t="shared" si="7"/>
        <v>6000</v>
      </c>
      <c r="K79" s="18">
        <v>0</v>
      </c>
      <c r="L79" s="18">
        <f t="shared" si="5"/>
        <v>6000</v>
      </c>
      <c r="M79" s="21">
        <f t="shared" si="9"/>
        <v>0</v>
      </c>
      <c r="N79" s="2"/>
      <c r="O79" s="2"/>
    </row>
    <row r="80" spans="1:15" ht="17.100000000000001" customHeight="1" x14ac:dyDescent="0.2">
      <c r="A80" s="26" t="s">
        <v>173</v>
      </c>
      <c r="B80" s="7" t="s">
        <v>72</v>
      </c>
      <c r="C80" s="18">
        <v>1100</v>
      </c>
      <c r="D80" s="18"/>
      <c r="E80" s="18"/>
      <c r="F80" s="18"/>
      <c r="G80" s="18"/>
      <c r="H80" s="18"/>
      <c r="I80" s="18"/>
      <c r="J80" s="18">
        <f t="shared" si="7"/>
        <v>1100</v>
      </c>
      <c r="K80" s="18">
        <v>0</v>
      </c>
      <c r="L80" s="18">
        <f t="shared" si="5"/>
        <v>1100</v>
      </c>
      <c r="M80" s="21">
        <f t="shared" si="9"/>
        <v>0</v>
      </c>
      <c r="N80" s="2"/>
      <c r="O80" s="2"/>
    </row>
    <row r="81" spans="1:15" ht="17.100000000000001" customHeight="1" x14ac:dyDescent="0.2">
      <c r="A81" s="26" t="s">
        <v>174</v>
      </c>
      <c r="B81" s="7" t="s">
        <v>175</v>
      </c>
      <c r="C81" s="18">
        <v>2255</v>
      </c>
      <c r="D81" s="18"/>
      <c r="E81" s="18"/>
      <c r="F81" s="18"/>
      <c r="G81" s="18"/>
      <c r="H81" s="18"/>
      <c r="I81" s="18"/>
      <c r="J81" s="18">
        <f t="shared" si="7"/>
        <v>2255</v>
      </c>
      <c r="K81" s="18">
        <v>126</v>
      </c>
      <c r="L81" s="18">
        <f t="shared" si="5"/>
        <v>2129</v>
      </c>
      <c r="M81" s="21">
        <f t="shared" si="9"/>
        <v>1.4412885943627088E-3</v>
      </c>
      <c r="N81" s="2"/>
      <c r="O81" s="2"/>
    </row>
    <row r="82" spans="1:15" ht="17.100000000000001" customHeight="1" x14ac:dyDescent="0.2">
      <c r="A82" s="26" t="s">
        <v>176</v>
      </c>
      <c r="B82" s="7" t="s">
        <v>177</v>
      </c>
      <c r="C82" s="18">
        <v>1300</v>
      </c>
      <c r="D82" s="18"/>
      <c r="E82" s="18"/>
      <c r="F82" s="18"/>
      <c r="G82" s="18"/>
      <c r="H82" s="18"/>
      <c r="I82" s="18"/>
      <c r="J82" s="18">
        <f t="shared" si="7"/>
        <v>1300</v>
      </c>
      <c r="K82" s="18">
        <v>0</v>
      </c>
      <c r="L82" s="18">
        <f t="shared" si="5"/>
        <v>1300</v>
      </c>
      <c r="M82" s="21">
        <f t="shared" si="9"/>
        <v>0</v>
      </c>
      <c r="N82" s="2"/>
      <c r="O82" s="2"/>
    </row>
    <row r="83" spans="1:15" ht="17.100000000000001" customHeight="1" x14ac:dyDescent="0.2">
      <c r="A83" s="26" t="s">
        <v>178</v>
      </c>
      <c r="B83" s="7" t="s">
        <v>179</v>
      </c>
      <c r="C83" s="18">
        <v>7500</v>
      </c>
      <c r="D83" s="18"/>
      <c r="E83" s="18"/>
      <c r="F83" s="18"/>
      <c r="G83" s="18"/>
      <c r="H83" s="18"/>
      <c r="I83" s="18"/>
      <c r="J83" s="18">
        <f t="shared" si="7"/>
        <v>7500</v>
      </c>
      <c r="K83" s="18">
        <v>0</v>
      </c>
      <c r="L83" s="18">
        <f t="shared" si="5"/>
        <v>7500</v>
      </c>
      <c r="M83" s="21">
        <f t="shared" si="9"/>
        <v>0</v>
      </c>
      <c r="N83" s="2"/>
      <c r="O83" s="2"/>
    </row>
    <row r="84" spans="1:15" ht="17.100000000000001" customHeight="1" x14ac:dyDescent="0.2">
      <c r="A84" s="26" t="s">
        <v>180</v>
      </c>
      <c r="B84" s="7" t="s">
        <v>73</v>
      </c>
      <c r="C84" s="18">
        <v>200</v>
      </c>
      <c r="D84" s="18"/>
      <c r="E84" s="18"/>
      <c r="F84" s="18"/>
      <c r="G84" s="18"/>
      <c r="H84" s="18"/>
      <c r="I84" s="18"/>
      <c r="J84" s="18">
        <f t="shared" si="7"/>
        <v>200</v>
      </c>
      <c r="K84" s="18">
        <v>0</v>
      </c>
      <c r="L84" s="18">
        <f t="shared" si="5"/>
        <v>200</v>
      </c>
      <c r="M84" s="21">
        <f t="shared" si="9"/>
        <v>0</v>
      </c>
      <c r="N84" s="2"/>
      <c r="O84" s="2"/>
    </row>
    <row r="85" spans="1:15" ht="17.100000000000001" customHeight="1" x14ac:dyDescent="0.2">
      <c r="A85" s="26" t="s">
        <v>181</v>
      </c>
      <c r="B85" s="7" t="s">
        <v>74</v>
      </c>
      <c r="C85" s="18">
        <v>10920</v>
      </c>
      <c r="D85" s="18"/>
      <c r="E85" s="18"/>
      <c r="F85" s="18"/>
      <c r="G85" s="18"/>
      <c r="H85" s="18"/>
      <c r="I85" s="18"/>
      <c r="J85" s="18">
        <f t="shared" si="7"/>
        <v>10920</v>
      </c>
      <c r="K85" s="18">
        <v>393.97</v>
      </c>
      <c r="L85" s="18">
        <f t="shared" si="5"/>
        <v>10526.03</v>
      </c>
      <c r="M85" s="21">
        <f t="shared" si="9"/>
        <v>4.506543393024416E-3</v>
      </c>
      <c r="N85" s="2"/>
      <c r="O85" s="2"/>
    </row>
    <row r="86" spans="1:15" ht="17.100000000000001" customHeight="1" x14ac:dyDescent="0.2">
      <c r="A86" s="26" t="s">
        <v>182</v>
      </c>
      <c r="B86" s="7" t="s">
        <v>183</v>
      </c>
      <c r="C86" s="18">
        <v>1850</v>
      </c>
      <c r="D86" s="18"/>
      <c r="E86" s="18"/>
      <c r="F86" s="18"/>
      <c r="G86" s="18"/>
      <c r="H86" s="18"/>
      <c r="I86" s="18"/>
      <c r="J86" s="18">
        <f t="shared" si="7"/>
        <v>1850</v>
      </c>
      <c r="K86" s="18">
        <v>0</v>
      </c>
      <c r="L86" s="18">
        <f t="shared" si="5"/>
        <v>1850</v>
      </c>
      <c r="M86" s="21">
        <f t="shared" si="9"/>
        <v>0</v>
      </c>
      <c r="N86" s="2"/>
      <c r="O86" s="2"/>
    </row>
    <row r="87" spans="1:15" ht="17.100000000000001" customHeight="1" x14ac:dyDescent="0.2">
      <c r="A87" s="26" t="s">
        <v>184</v>
      </c>
      <c r="B87" s="7" t="s">
        <v>75</v>
      </c>
      <c r="C87" s="18">
        <v>19000</v>
      </c>
      <c r="D87" s="18"/>
      <c r="E87" s="18"/>
      <c r="F87" s="18"/>
      <c r="G87" s="18"/>
      <c r="H87" s="18"/>
      <c r="I87" s="18"/>
      <c r="J87" s="18">
        <f t="shared" si="7"/>
        <v>19000</v>
      </c>
      <c r="K87" s="18">
        <v>168.98</v>
      </c>
      <c r="L87" s="18">
        <f t="shared" ref="L87:L118" si="10">J87-K87</f>
        <v>18831.02</v>
      </c>
      <c r="M87" s="21">
        <f t="shared" si="9"/>
        <v>1.9329281482175437E-3</v>
      </c>
      <c r="N87" s="2"/>
      <c r="O87" s="2"/>
    </row>
    <row r="88" spans="1:15" ht="17.100000000000001" customHeight="1" x14ac:dyDescent="0.2">
      <c r="A88" s="26" t="s">
        <v>185</v>
      </c>
      <c r="B88" s="7" t="s">
        <v>186</v>
      </c>
      <c r="C88" s="18">
        <v>4793.1600000000008</v>
      </c>
      <c r="D88" s="18"/>
      <c r="E88" s="18"/>
      <c r="F88" s="18"/>
      <c r="G88" s="18"/>
      <c r="H88" s="18"/>
      <c r="I88" s="18"/>
      <c r="J88" s="18">
        <f t="shared" si="7"/>
        <v>4793.1600000000008</v>
      </c>
      <c r="K88" s="18">
        <v>177</v>
      </c>
      <c r="L88" s="18">
        <f t="shared" si="10"/>
        <v>4616.1600000000008</v>
      </c>
      <c r="M88" s="21">
        <f t="shared" si="9"/>
        <v>2.0246673111285669E-3</v>
      </c>
      <c r="N88" s="2"/>
      <c r="O88" s="2"/>
    </row>
    <row r="89" spans="1:15" ht="17.100000000000001" customHeight="1" x14ac:dyDescent="0.2">
      <c r="A89" s="26" t="s">
        <v>187</v>
      </c>
      <c r="B89" s="7" t="s">
        <v>188</v>
      </c>
      <c r="C89" s="18">
        <v>1250</v>
      </c>
      <c r="D89" s="18"/>
      <c r="E89" s="18"/>
      <c r="F89" s="18"/>
      <c r="G89" s="18"/>
      <c r="H89" s="18"/>
      <c r="I89" s="18"/>
      <c r="J89" s="18">
        <f t="shared" ref="J89:J118" si="11">C89+D89-E89+F89-G89+H89-I89</f>
        <v>1250</v>
      </c>
      <c r="K89" s="18">
        <v>0</v>
      </c>
      <c r="L89" s="18">
        <f t="shared" si="10"/>
        <v>1250</v>
      </c>
      <c r="M89" s="21">
        <f t="shared" si="9"/>
        <v>0</v>
      </c>
      <c r="N89" s="2"/>
      <c r="O89" s="2"/>
    </row>
    <row r="90" spans="1:15" ht="17.100000000000001" customHeight="1" x14ac:dyDescent="0.2">
      <c r="A90" s="26" t="s">
        <v>189</v>
      </c>
      <c r="B90" s="7" t="s">
        <v>76</v>
      </c>
      <c r="C90" s="18">
        <v>165089.08000000002</v>
      </c>
      <c r="D90" s="18"/>
      <c r="E90" s="18"/>
      <c r="F90" s="18"/>
      <c r="G90" s="18"/>
      <c r="H90" s="18"/>
      <c r="I90" s="18"/>
      <c r="J90" s="18">
        <f t="shared" si="11"/>
        <v>165089.08000000002</v>
      </c>
      <c r="K90" s="18">
        <v>0</v>
      </c>
      <c r="L90" s="18">
        <f t="shared" si="10"/>
        <v>165089.08000000002</v>
      </c>
      <c r="M90" s="21">
        <f t="shared" si="9"/>
        <v>0</v>
      </c>
      <c r="N90" s="2"/>
      <c r="O90" s="2"/>
    </row>
    <row r="91" spans="1:15" ht="17.100000000000001" customHeight="1" x14ac:dyDescent="0.2">
      <c r="A91" s="26" t="s">
        <v>190</v>
      </c>
      <c r="B91" s="7" t="s">
        <v>77</v>
      </c>
      <c r="C91" s="18">
        <v>0</v>
      </c>
      <c r="D91" s="18"/>
      <c r="E91" s="18"/>
      <c r="F91" s="18"/>
      <c r="G91" s="18"/>
      <c r="H91" s="18"/>
      <c r="I91" s="18"/>
      <c r="J91" s="18">
        <f t="shared" si="11"/>
        <v>0</v>
      </c>
      <c r="K91" s="18">
        <v>0</v>
      </c>
      <c r="L91" s="18">
        <f t="shared" si="10"/>
        <v>0</v>
      </c>
      <c r="M91" s="21">
        <f t="shared" si="9"/>
        <v>0</v>
      </c>
      <c r="N91" s="2"/>
      <c r="O91" s="2"/>
    </row>
    <row r="92" spans="1:15" ht="17.100000000000001" customHeight="1" x14ac:dyDescent="0.2">
      <c r="A92" s="26" t="s">
        <v>191</v>
      </c>
      <c r="B92" s="7" t="s">
        <v>78</v>
      </c>
      <c r="C92" s="18">
        <v>1000</v>
      </c>
      <c r="D92" s="18"/>
      <c r="E92" s="18"/>
      <c r="F92" s="18"/>
      <c r="G92" s="18"/>
      <c r="H92" s="18"/>
      <c r="I92" s="18"/>
      <c r="J92" s="18">
        <f t="shared" si="11"/>
        <v>1000</v>
      </c>
      <c r="K92" s="18">
        <v>169.6</v>
      </c>
      <c r="L92" s="18">
        <f t="shared" si="10"/>
        <v>830.4</v>
      </c>
      <c r="M92" s="21">
        <f t="shared" si="9"/>
        <v>1.9400202032056777E-3</v>
      </c>
      <c r="N92" s="2"/>
      <c r="O92" s="2"/>
    </row>
    <row r="93" spans="1:15" ht="17.100000000000001" customHeight="1" x14ac:dyDescent="0.2">
      <c r="A93" s="26" t="s">
        <v>192</v>
      </c>
      <c r="B93" s="7" t="s">
        <v>79</v>
      </c>
      <c r="C93" s="18">
        <v>7500</v>
      </c>
      <c r="D93" s="18"/>
      <c r="E93" s="18"/>
      <c r="F93" s="18"/>
      <c r="G93" s="18"/>
      <c r="H93" s="18"/>
      <c r="I93" s="18"/>
      <c r="J93" s="18">
        <f t="shared" si="11"/>
        <v>7500</v>
      </c>
      <c r="K93" s="18">
        <v>0</v>
      </c>
      <c r="L93" s="18">
        <f t="shared" si="10"/>
        <v>7500</v>
      </c>
      <c r="M93" s="21">
        <f t="shared" si="9"/>
        <v>0</v>
      </c>
      <c r="N93" s="2"/>
      <c r="O93" s="2"/>
    </row>
    <row r="94" spans="1:15" ht="17.100000000000001" customHeight="1" x14ac:dyDescent="0.2">
      <c r="A94" s="26" t="s">
        <v>193</v>
      </c>
      <c r="B94" s="7" t="s">
        <v>194</v>
      </c>
      <c r="C94" s="18">
        <v>1125749.23</v>
      </c>
      <c r="D94" s="18"/>
      <c r="E94" s="18"/>
      <c r="F94" s="18"/>
      <c r="G94" s="18"/>
      <c r="H94" s="18"/>
      <c r="I94" s="18"/>
      <c r="J94" s="18">
        <f t="shared" si="11"/>
        <v>1125749.23</v>
      </c>
      <c r="K94" s="18">
        <v>0</v>
      </c>
      <c r="L94" s="18">
        <f t="shared" si="10"/>
        <v>1125749.23</v>
      </c>
      <c r="M94" s="21">
        <f t="shared" si="9"/>
        <v>0</v>
      </c>
      <c r="N94" s="2"/>
      <c r="O94" s="2"/>
    </row>
    <row r="95" spans="1:15" ht="17.100000000000001" customHeight="1" x14ac:dyDescent="0.2">
      <c r="A95" s="26" t="s">
        <v>195</v>
      </c>
      <c r="B95" s="7" t="s">
        <v>80</v>
      </c>
      <c r="C95" s="18">
        <v>9940</v>
      </c>
      <c r="D95" s="18"/>
      <c r="E95" s="18"/>
      <c r="F95" s="18"/>
      <c r="G95" s="18"/>
      <c r="H95" s="18"/>
      <c r="I95" s="18"/>
      <c r="J95" s="18">
        <f t="shared" si="11"/>
        <v>9940</v>
      </c>
      <c r="K95" s="18">
        <v>0</v>
      </c>
      <c r="L95" s="18">
        <f t="shared" si="10"/>
        <v>9940</v>
      </c>
      <c r="M95" s="21">
        <f t="shared" si="9"/>
        <v>0</v>
      </c>
      <c r="N95" s="2"/>
      <c r="O95" s="2"/>
    </row>
    <row r="96" spans="1:15" ht="17.100000000000001" customHeight="1" x14ac:dyDescent="0.2">
      <c r="A96" s="26" t="s">
        <v>196</v>
      </c>
      <c r="B96" s="7" t="s">
        <v>197</v>
      </c>
      <c r="C96" s="18">
        <v>2250</v>
      </c>
      <c r="D96" s="18"/>
      <c r="E96" s="18"/>
      <c r="F96" s="18"/>
      <c r="G96" s="18"/>
      <c r="H96" s="18"/>
      <c r="I96" s="18"/>
      <c r="J96" s="18">
        <f t="shared" si="11"/>
        <v>2250</v>
      </c>
      <c r="K96" s="18">
        <v>39.700000000000003</v>
      </c>
      <c r="L96" s="18">
        <f t="shared" si="10"/>
        <v>2210.3000000000002</v>
      </c>
      <c r="M96" s="21">
        <f t="shared" si="9"/>
        <v>4.5412029520793283E-4</v>
      </c>
      <c r="N96" s="2"/>
      <c r="O96" s="2"/>
    </row>
    <row r="97" spans="1:15" ht="17.100000000000001" customHeight="1" x14ac:dyDescent="0.2">
      <c r="A97" s="26" t="s">
        <v>198</v>
      </c>
      <c r="B97" s="7" t="s">
        <v>81</v>
      </c>
      <c r="C97" s="18">
        <v>122483.72</v>
      </c>
      <c r="D97" s="18"/>
      <c r="E97" s="18"/>
      <c r="F97" s="18"/>
      <c r="G97" s="18"/>
      <c r="H97" s="18"/>
      <c r="I97" s="18"/>
      <c r="J97" s="18">
        <f t="shared" si="11"/>
        <v>122483.72</v>
      </c>
      <c r="K97" s="18">
        <v>0</v>
      </c>
      <c r="L97" s="18">
        <f t="shared" si="10"/>
        <v>122483.72</v>
      </c>
      <c r="M97" s="21">
        <f t="shared" si="9"/>
        <v>0</v>
      </c>
      <c r="N97" s="2"/>
      <c r="O97" s="2"/>
    </row>
    <row r="98" spans="1:15" ht="17.100000000000001" customHeight="1" x14ac:dyDescent="0.2">
      <c r="A98" s="26" t="s">
        <v>199</v>
      </c>
      <c r="B98" s="7" t="s">
        <v>200</v>
      </c>
      <c r="C98" s="18">
        <v>650</v>
      </c>
      <c r="D98" s="18"/>
      <c r="E98" s="18"/>
      <c r="F98" s="18"/>
      <c r="G98" s="18"/>
      <c r="H98" s="18"/>
      <c r="I98" s="18"/>
      <c r="J98" s="18">
        <f t="shared" si="11"/>
        <v>650</v>
      </c>
      <c r="K98" s="18">
        <v>0</v>
      </c>
      <c r="L98" s="18">
        <f t="shared" si="10"/>
        <v>650</v>
      </c>
      <c r="M98" s="21">
        <f t="shared" si="9"/>
        <v>0</v>
      </c>
      <c r="N98" s="2"/>
      <c r="O98" s="2"/>
    </row>
    <row r="99" spans="1:15" ht="17.100000000000001" customHeight="1" x14ac:dyDescent="0.2">
      <c r="A99" s="26" t="s">
        <v>201</v>
      </c>
      <c r="B99" s="7" t="s">
        <v>202</v>
      </c>
      <c r="C99" s="18">
        <v>6900</v>
      </c>
      <c r="D99" s="18"/>
      <c r="E99" s="18"/>
      <c r="F99" s="18"/>
      <c r="G99" s="18"/>
      <c r="H99" s="18"/>
      <c r="I99" s="18"/>
      <c r="J99" s="18">
        <f t="shared" si="11"/>
        <v>6900</v>
      </c>
      <c r="K99" s="18">
        <v>0</v>
      </c>
      <c r="L99" s="18">
        <f t="shared" si="10"/>
        <v>6900</v>
      </c>
      <c r="M99" s="21">
        <f t="shared" si="9"/>
        <v>0</v>
      </c>
      <c r="N99" s="2"/>
      <c r="O99" s="2"/>
    </row>
    <row r="100" spans="1:15" ht="17.100000000000001" customHeight="1" x14ac:dyDescent="0.2">
      <c r="A100" s="26" t="s">
        <v>203</v>
      </c>
      <c r="B100" s="7" t="s">
        <v>82</v>
      </c>
      <c r="C100" s="18">
        <v>85470</v>
      </c>
      <c r="D100" s="18"/>
      <c r="E100" s="18"/>
      <c r="F100" s="18"/>
      <c r="G100" s="18"/>
      <c r="H100" s="18"/>
      <c r="I100" s="18"/>
      <c r="J100" s="18">
        <f t="shared" si="11"/>
        <v>85470</v>
      </c>
      <c r="K100" s="18">
        <v>496.14</v>
      </c>
      <c r="L100" s="18">
        <f t="shared" si="10"/>
        <v>84973.86</v>
      </c>
      <c r="M100" s="21">
        <f t="shared" si="9"/>
        <v>5.6752454222786849E-3</v>
      </c>
      <c r="N100" s="2"/>
      <c r="O100" s="2"/>
    </row>
    <row r="101" spans="1:15" ht="17.100000000000001" customHeight="1" x14ac:dyDescent="0.2">
      <c r="A101" s="26" t="s">
        <v>204</v>
      </c>
      <c r="B101" s="7" t="s">
        <v>83</v>
      </c>
      <c r="C101" s="18">
        <v>15600</v>
      </c>
      <c r="D101" s="18"/>
      <c r="E101" s="18"/>
      <c r="F101" s="18"/>
      <c r="G101" s="18"/>
      <c r="H101" s="18"/>
      <c r="I101" s="18"/>
      <c r="J101" s="18">
        <f t="shared" si="11"/>
        <v>15600</v>
      </c>
      <c r="K101" s="18">
        <v>148.74</v>
      </c>
      <c r="L101" s="18">
        <f t="shared" si="10"/>
        <v>15451.26</v>
      </c>
      <c r="M101" s="21">
        <f t="shared" si="9"/>
        <v>1.7014068692500738E-3</v>
      </c>
      <c r="N101" s="2"/>
      <c r="O101" s="2"/>
    </row>
    <row r="102" spans="1:15" ht="17.100000000000001" customHeight="1" x14ac:dyDescent="0.2">
      <c r="A102" s="26"/>
      <c r="B102" s="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21"/>
      <c r="N102" s="2"/>
      <c r="O102" s="2"/>
    </row>
    <row r="103" spans="1:15" ht="17.100000000000001" customHeight="1" x14ac:dyDescent="0.25">
      <c r="A103" s="27">
        <v>3</v>
      </c>
      <c r="B103" s="17" t="s">
        <v>84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21"/>
      <c r="N103" s="2"/>
      <c r="O103" s="2"/>
    </row>
    <row r="104" spans="1:15" ht="17.100000000000001" customHeight="1" x14ac:dyDescent="0.2">
      <c r="A104" s="26" t="s">
        <v>205</v>
      </c>
      <c r="B104" s="7" t="s">
        <v>85</v>
      </c>
      <c r="C104" s="18">
        <v>162200</v>
      </c>
      <c r="D104" s="18"/>
      <c r="E104" s="18"/>
      <c r="F104" s="18"/>
      <c r="G104" s="18"/>
      <c r="H104" s="18"/>
      <c r="I104" s="18"/>
      <c r="J104" s="18">
        <f t="shared" si="11"/>
        <v>162200</v>
      </c>
      <c r="K104" s="18">
        <v>0</v>
      </c>
      <c r="L104" s="18">
        <f t="shared" si="10"/>
        <v>162200</v>
      </c>
      <c r="M104" s="21">
        <f t="shared" ref="M104:M109" si="12">K104/$K$120</f>
        <v>0</v>
      </c>
      <c r="N104" s="2"/>
      <c r="O104" s="2"/>
    </row>
    <row r="105" spans="1:15" ht="17.100000000000001" hidden="1" customHeight="1" x14ac:dyDescent="0.2">
      <c r="A105" s="26" t="s">
        <v>206</v>
      </c>
      <c r="B105" s="7" t="s">
        <v>207</v>
      </c>
      <c r="C105" s="18">
        <v>0</v>
      </c>
      <c r="D105" s="18"/>
      <c r="E105" s="18"/>
      <c r="F105" s="18"/>
      <c r="G105" s="18"/>
      <c r="H105" s="18"/>
      <c r="I105" s="18"/>
      <c r="J105" s="18">
        <f t="shared" si="11"/>
        <v>0</v>
      </c>
      <c r="K105" s="18"/>
      <c r="L105" s="18">
        <f t="shared" si="10"/>
        <v>0</v>
      </c>
      <c r="M105" s="21">
        <f t="shared" si="12"/>
        <v>0</v>
      </c>
      <c r="N105" s="2"/>
      <c r="O105" s="2"/>
    </row>
    <row r="106" spans="1:15" ht="17.100000000000001" customHeight="1" x14ac:dyDescent="0.2">
      <c r="A106" s="26" t="s">
        <v>208</v>
      </c>
      <c r="B106" s="7" t="s">
        <v>209</v>
      </c>
      <c r="C106" s="18">
        <v>1856690.49</v>
      </c>
      <c r="D106" s="18"/>
      <c r="E106" s="18"/>
      <c r="F106" s="18"/>
      <c r="G106" s="18"/>
      <c r="H106" s="18"/>
      <c r="I106" s="18"/>
      <c r="J106" s="18">
        <f t="shared" si="11"/>
        <v>1856690.49</v>
      </c>
      <c r="K106" s="18">
        <v>0</v>
      </c>
      <c r="L106" s="18">
        <f t="shared" si="10"/>
        <v>1856690.49</v>
      </c>
      <c r="M106" s="21">
        <f t="shared" si="12"/>
        <v>0</v>
      </c>
      <c r="N106" s="2"/>
      <c r="O106" s="2"/>
    </row>
    <row r="107" spans="1:15" ht="17.100000000000001" customHeight="1" x14ac:dyDescent="0.2">
      <c r="A107" s="26" t="s">
        <v>210</v>
      </c>
      <c r="B107" s="7" t="s">
        <v>211</v>
      </c>
      <c r="C107" s="18">
        <v>200000</v>
      </c>
      <c r="D107" s="18"/>
      <c r="E107" s="18"/>
      <c r="F107" s="18"/>
      <c r="G107" s="18"/>
      <c r="H107" s="18"/>
      <c r="I107" s="18"/>
      <c r="J107" s="18">
        <f t="shared" si="11"/>
        <v>200000</v>
      </c>
      <c r="K107" s="18">
        <v>0</v>
      </c>
      <c r="L107" s="18">
        <f t="shared" si="10"/>
        <v>200000</v>
      </c>
      <c r="M107" s="21">
        <f t="shared" si="12"/>
        <v>0</v>
      </c>
      <c r="N107" s="2"/>
      <c r="O107" s="2"/>
    </row>
    <row r="108" spans="1:15" ht="17.100000000000001" customHeight="1" x14ac:dyDescent="0.2">
      <c r="A108" s="26" t="s">
        <v>212</v>
      </c>
      <c r="B108" s="7" t="s">
        <v>213</v>
      </c>
      <c r="C108" s="18">
        <v>500</v>
      </c>
      <c r="D108" s="18"/>
      <c r="E108" s="18"/>
      <c r="F108" s="18"/>
      <c r="G108" s="18"/>
      <c r="H108" s="18"/>
      <c r="I108" s="18"/>
      <c r="J108" s="18">
        <f t="shared" si="11"/>
        <v>500</v>
      </c>
      <c r="K108" s="18">
        <v>0</v>
      </c>
      <c r="L108" s="18">
        <f t="shared" si="10"/>
        <v>500</v>
      </c>
      <c r="M108" s="21">
        <f t="shared" si="12"/>
        <v>0</v>
      </c>
      <c r="N108" s="2"/>
      <c r="O108" s="2"/>
    </row>
    <row r="109" spans="1:15" ht="17.100000000000001" customHeight="1" x14ac:dyDescent="0.2">
      <c r="A109" s="26" t="s">
        <v>214</v>
      </c>
      <c r="B109" s="7" t="s">
        <v>215</v>
      </c>
      <c r="C109" s="18">
        <v>17500</v>
      </c>
      <c r="D109" s="18"/>
      <c r="E109" s="18"/>
      <c r="F109" s="18"/>
      <c r="G109" s="18"/>
      <c r="H109" s="18"/>
      <c r="I109" s="18"/>
      <c r="J109" s="18">
        <f t="shared" si="11"/>
        <v>17500</v>
      </c>
      <c r="K109" s="18">
        <v>380</v>
      </c>
      <c r="L109" s="18">
        <f t="shared" si="10"/>
        <v>17120</v>
      </c>
      <c r="M109" s="21">
        <f t="shared" si="12"/>
        <v>4.3467433798240421E-3</v>
      </c>
      <c r="N109" s="2"/>
      <c r="O109" s="2"/>
    </row>
    <row r="110" spans="1:15" ht="17.100000000000001" customHeight="1" x14ac:dyDescent="0.2">
      <c r="A110" s="26" t="s">
        <v>216</v>
      </c>
      <c r="B110" s="7" t="s">
        <v>217</v>
      </c>
      <c r="C110" s="18">
        <v>20500</v>
      </c>
      <c r="D110" s="18"/>
      <c r="E110" s="18"/>
      <c r="F110" s="18"/>
      <c r="G110" s="18"/>
      <c r="H110" s="18"/>
      <c r="I110" s="18"/>
      <c r="J110" s="18">
        <f t="shared" si="11"/>
        <v>20500</v>
      </c>
      <c r="K110" s="18">
        <v>0</v>
      </c>
      <c r="L110" s="18">
        <f t="shared" si="10"/>
        <v>20500</v>
      </c>
      <c r="M110" s="21"/>
      <c r="N110" s="2"/>
      <c r="O110" s="2"/>
    </row>
    <row r="111" spans="1:15" ht="17.100000000000001" customHeight="1" x14ac:dyDescent="0.2">
      <c r="A111" s="26" t="s">
        <v>218</v>
      </c>
      <c r="B111" s="7" t="s">
        <v>219</v>
      </c>
      <c r="C111" s="18">
        <v>2784974.71</v>
      </c>
      <c r="D111" s="18"/>
      <c r="E111" s="18"/>
      <c r="F111" s="18"/>
      <c r="G111" s="18"/>
      <c r="H111" s="18"/>
      <c r="I111" s="18"/>
      <c r="J111" s="18">
        <f t="shared" si="11"/>
        <v>2784974.71</v>
      </c>
      <c r="K111" s="18">
        <v>0</v>
      </c>
      <c r="L111" s="18">
        <f t="shared" si="10"/>
        <v>2784974.71</v>
      </c>
      <c r="M111" s="21"/>
      <c r="N111" s="2"/>
      <c r="O111" s="2"/>
    </row>
    <row r="112" spans="1:15" ht="17.100000000000001" customHeight="1" x14ac:dyDescent="0.2">
      <c r="A112" s="26"/>
      <c r="B112" s="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21"/>
      <c r="N112" s="2"/>
      <c r="O112" s="2"/>
    </row>
    <row r="113" spans="1:15" ht="17.100000000000001" customHeight="1" x14ac:dyDescent="0.25">
      <c r="A113" s="27">
        <v>4</v>
      </c>
      <c r="B113" s="17" t="s">
        <v>86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21"/>
      <c r="N113" s="2"/>
      <c r="O113" s="2"/>
    </row>
    <row r="114" spans="1:15" ht="17.100000000000001" customHeight="1" x14ac:dyDescent="0.2">
      <c r="A114" s="26" t="s">
        <v>220</v>
      </c>
      <c r="B114" s="7" t="s">
        <v>221</v>
      </c>
      <c r="C114" s="18">
        <v>20750</v>
      </c>
      <c r="D114" s="18"/>
      <c r="E114" s="18"/>
      <c r="F114" s="18"/>
      <c r="G114" s="18"/>
      <c r="H114" s="18"/>
      <c r="I114" s="18"/>
      <c r="J114" s="18">
        <f t="shared" si="11"/>
        <v>20750</v>
      </c>
      <c r="K114" s="18">
        <v>0</v>
      </c>
      <c r="L114" s="18">
        <f t="shared" si="10"/>
        <v>20750</v>
      </c>
      <c r="M114" s="21">
        <f>K114/$K$120</f>
        <v>0</v>
      </c>
      <c r="N114" s="2"/>
      <c r="O114" s="2"/>
    </row>
    <row r="115" spans="1:15" ht="17.100000000000001" customHeight="1" x14ac:dyDescent="0.2">
      <c r="A115" s="26" t="s">
        <v>222</v>
      </c>
      <c r="B115" s="7" t="s">
        <v>223</v>
      </c>
      <c r="C115" s="18">
        <v>7600</v>
      </c>
      <c r="D115" s="18"/>
      <c r="E115" s="18"/>
      <c r="F115" s="18"/>
      <c r="G115" s="18"/>
      <c r="H115" s="18"/>
      <c r="I115" s="18"/>
      <c r="J115" s="18">
        <f t="shared" si="11"/>
        <v>7600</v>
      </c>
      <c r="K115" s="18">
        <v>0</v>
      </c>
      <c r="L115" s="18">
        <f t="shared" si="10"/>
        <v>7600</v>
      </c>
      <c r="M115" s="21">
        <f>K115/$K$120</f>
        <v>0</v>
      </c>
      <c r="N115" s="2"/>
      <c r="O115" s="2"/>
    </row>
    <row r="116" spans="1:15" ht="17.100000000000001" customHeight="1" x14ac:dyDescent="0.2">
      <c r="A116" s="26" t="s">
        <v>224</v>
      </c>
      <c r="B116" s="7" t="s">
        <v>225</v>
      </c>
      <c r="C116" s="18">
        <v>9600</v>
      </c>
      <c r="D116" s="18"/>
      <c r="E116" s="18"/>
      <c r="F116" s="18"/>
      <c r="G116" s="18"/>
      <c r="H116" s="18"/>
      <c r="I116" s="18"/>
      <c r="J116" s="18">
        <f t="shared" si="11"/>
        <v>9600</v>
      </c>
      <c r="K116" s="18">
        <v>800</v>
      </c>
      <c r="L116" s="18">
        <f t="shared" si="10"/>
        <v>8800</v>
      </c>
      <c r="M116" s="21">
        <f>K116/$K$120</f>
        <v>9.1510386943664049E-3</v>
      </c>
      <c r="N116" s="2"/>
      <c r="O116" s="2"/>
    </row>
    <row r="117" spans="1:15" s="2" customFormat="1" ht="17.100000000000001" customHeight="1" x14ac:dyDescent="0.2">
      <c r="A117" s="26" t="s">
        <v>226</v>
      </c>
      <c r="B117" s="7" t="s">
        <v>227</v>
      </c>
      <c r="C117" s="32">
        <v>0</v>
      </c>
      <c r="D117" s="32"/>
      <c r="E117" s="32"/>
      <c r="F117" s="32"/>
      <c r="G117" s="32"/>
      <c r="H117" s="32"/>
      <c r="I117" s="32"/>
      <c r="J117" s="32">
        <f t="shared" si="11"/>
        <v>0</v>
      </c>
      <c r="K117" s="32">
        <v>0</v>
      </c>
      <c r="L117" s="32">
        <f t="shared" si="10"/>
        <v>0</v>
      </c>
      <c r="M117" s="21">
        <f>K117/$K$120</f>
        <v>0</v>
      </c>
    </row>
    <row r="118" spans="1:15" s="2" customFormat="1" ht="17.100000000000001" customHeight="1" x14ac:dyDescent="0.2">
      <c r="A118" s="26" t="s">
        <v>228</v>
      </c>
      <c r="B118" s="7" t="s">
        <v>87</v>
      </c>
      <c r="C118" s="32">
        <v>11050</v>
      </c>
      <c r="D118" s="32"/>
      <c r="E118" s="32"/>
      <c r="F118" s="32"/>
      <c r="G118" s="32"/>
      <c r="H118" s="32"/>
      <c r="I118" s="32"/>
      <c r="J118" s="32">
        <f t="shared" si="11"/>
        <v>11050</v>
      </c>
      <c r="K118" s="32">
        <v>0</v>
      </c>
      <c r="L118" s="32">
        <f t="shared" si="10"/>
        <v>11050</v>
      </c>
      <c r="M118" s="21">
        <f>K118/$K$120</f>
        <v>0</v>
      </c>
    </row>
    <row r="119" spans="1:15" s="2" customFormat="1" ht="17.100000000000001" customHeight="1" thickBot="1" x14ac:dyDescent="0.25">
      <c r="A119" s="28"/>
      <c r="B119" s="1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2"/>
    </row>
    <row r="120" spans="1:15" s="2" customFormat="1" ht="17.100000000000001" customHeight="1" thickBot="1" x14ac:dyDescent="0.3">
      <c r="A120" s="13"/>
      <c r="B120" s="13" t="s">
        <v>88</v>
      </c>
      <c r="C120" s="19">
        <f>SUM(C25:C119)</f>
        <v>10804273.189999999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f>SUM(J25:J119)</f>
        <v>10804273.189999999</v>
      </c>
      <c r="K120" s="19">
        <f t="shared" ref="K120:L120" si="13">SUM(K25:K119)</f>
        <v>87421.76999999999</v>
      </c>
      <c r="L120" s="19">
        <f t="shared" si="13"/>
        <v>10716851.42</v>
      </c>
      <c r="M120" s="50">
        <v>1</v>
      </c>
    </row>
    <row r="121" spans="1:15" s="2" customFormat="1" ht="15" x14ac:dyDescent="0.2">
      <c r="C121" s="34"/>
      <c r="D121" s="35"/>
      <c r="E121" s="35"/>
      <c r="F121" s="35"/>
      <c r="G121" s="35"/>
      <c r="H121" s="35"/>
      <c r="I121" s="35"/>
      <c r="J121" s="34"/>
      <c r="K121" s="35"/>
      <c r="L121" s="35"/>
    </row>
    <row r="122" spans="1:15" s="2" customFormat="1" ht="15.75" thickBot="1" x14ac:dyDescent="0.25"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5" s="2" customFormat="1" ht="15.75" x14ac:dyDescent="0.25">
      <c r="A123" s="36" t="s">
        <v>89</v>
      </c>
      <c r="B123" s="37"/>
      <c r="C123" s="38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5" s="2" customFormat="1" ht="15.75" x14ac:dyDescent="0.25">
      <c r="A124" s="39" t="s">
        <v>3</v>
      </c>
      <c r="B124" s="40"/>
      <c r="C124" s="41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5" s="2" customFormat="1" ht="8.1" customHeight="1" thickBot="1" x14ac:dyDescent="0.25">
      <c r="A125" s="42"/>
      <c r="B125" s="43"/>
      <c r="C125" s="44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5" s="2" customFormat="1" ht="8.1" customHeight="1" x14ac:dyDescent="0.2">
      <c r="A126" s="45"/>
      <c r="B126" s="46"/>
      <c r="C126" s="47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5" s="2" customFormat="1" ht="15.95" customHeight="1" x14ac:dyDescent="0.2">
      <c r="A127" s="56" t="s">
        <v>90</v>
      </c>
      <c r="B127" s="30"/>
      <c r="C127" s="48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5" s="2" customFormat="1" ht="15.95" customHeight="1" x14ac:dyDescent="0.2">
      <c r="A128" s="57" t="s">
        <v>229</v>
      </c>
      <c r="B128" s="30"/>
      <c r="C128" s="61">
        <f>198363.1+404138.05</f>
        <v>602501.15</v>
      </c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s="2" customFormat="1" ht="15.95" customHeight="1" x14ac:dyDescent="0.2">
      <c r="A129" s="57" t="s">
        <v>91</v>
      </c>
      <c r="B129" s="30"/>
      <c r="C129" s="51">
        <f>+K20</f>
        <v>236715.09999999998</v>
      </c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s="2" customFormat="1" ht="15.95" customHeight="1" x14ac:dyDescent="0.2">
      <c r="A130" s="57" t="s">
        <v>92</v>
      </c>
      <c r="B130" s="30"/>
      <c r="C130" s="53">
        <f>-K120</f>
        <v>-87421.76999999999</v>
      </c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2" customFormat="1" ht="15.95" customHeight="1" x14ac:dyDescent="0.25">
      <c r="A131" s="58" t="s">
        <v>93</v>
      </c>
      <c r="B131" s="31"/>
      <c r="C131" s="52">
        <f>SUM(C128:C130)</f>
        <v>751794.48</v>
      </c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s="2" customFormat="1" ht="8.1" customHeight="1" x14ac:dyDescent="0.25">
      <c r="A132" s="58"/>
      <c r="B132" s="31"/>
      <c r="C132" s="52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s="2" customFormat="1" ht="15.95" customHeight="1" x14ac:dyDescent="0.2">
      <c r="A133" s="56" t="s">
        <v>94</v>
      </c>
      <c r="B133" s="30"/>
      <c r="C133" s="51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s="2" customFormat="1" ht="15.95" customHeight="1" x14ac:dyDescent="0.2">
      <c r="A134" s="57" t="s">
        <v>233</v>
      </c>
      <c r="B134" s="30"/>
      <c r="C134" s="51">
        <v>-3977.24</v>
      </c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s="2" customFormat="1" ht="15.95" customHeight="1" x14ac:dyDescent="0.2">
      <c r="A135" s="57" t="s">
        <v>95</v>
      </c>
      <c r="B135" s="30"/>
      <c r="C135" s="51">
        <v>2902.88</v>
      </c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 s="2" customFormat="1" ht="15.95" customHeight="1" x14ac:dyDescent="0.2">
      <c r="A136" s="57" t="s">
        <v>96</v>
      </c>
      <c r="B136" s="30"/>
      <c r="C136" s="51">
        <v>219.61</v>
      </c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s="2" customFormat="1" ht="15.95" customHeight="1" x14ac:dyDescent="0.2">
      <c r="A137" s="57" t="s">
        <v>97</v>
      </c>
      <c r="B137" s="30"/>
      <c r="C137" s="51">
        <v>1422.99</v>
      </c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s="2" customFormat="1" ht="15.95" customHeight="1" x14ac:dyDescent="0.2">
      <c r="A138" s="57" t="s">
        <v>230</v>
      </c>
      <c r="B138" s="30"/>
      <c r="C138" s="51">
        <v>595</v>
      </c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s="2" customFormat="1" ht="5.0999999999999996" customHeight="1" x14ac:dyDescent="0.2">
      <c r="A139" s="57"/>
      <c r="B139" s="30"/>
      <c r="C139" s="53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 s="2" customFormat="1" ht="15.75" x14ac:dyDescent="0.25">
      <c r="A140" s="58"/>
      <c r="B140" s="31"/>
      <c r="C140" s="52">
        <f>SUM(C134:C139)</f>
        <v>1163.2400000000002</v>
      </c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s="2" customFormat="1" ht="5.0999999999999996" customHeight="1" x14ac:dyDescent="0.25">
      <c r="A141" s="58"/>
      <c r="B141" s="31"/>
      <c r="C141" s="54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s="2" customFormat="1" ht="8.1" customHeight="1" x14ac:dyDescent="0.25">
      <c r="A142" s="58"/>
      <c r="B142" s="31"/>
      <c r="C142" s="52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 s="2" customFormat="1" ht="16.5" thickBot="1" x14ac:dyDescent="0.3">
      <c r="A143" s="59" t="s">
        <v>231</v>
      </c>
      <c r="B143" s="49"/>
      <c r="C143" s="55">
        <f>C131+C140</f>
        <v>752957.72</v>
      </c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s="2" customFormat="1" ht="15" x14ac:dyDescent="0.2"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2:9" s="2" customFormat="1" ht="15" x14ac:dyDescent="0.2"/>
    <row r="146" spans="2:9" s="2" customFormat="1" ht="15" x14ac:dyDescent="0.2">
      <c r="B146" s="2" t="s">
        <v>232</v>
      </c>
    </row>
    <row r="147" spans="2:9" s="2" customFormat="1" ht="15" x14ac:dyDescent="0.2"/>
    <row r="148" spans="2:9" s="2" customFormat="1" ht="15" x14ac:dyDescent="0.2"/>
    <row r="149" spans="2:9" s="2" customFormat="1" ht="15" x14ac:dyDescent="0.2"/>
    <row r="150" spans="2:9" s="2" customFormat="1" ht="15" x14ac:dyDescent="0.2"/>
    <row r="151" spans="2:9" s="2" customFormat="1" ht="15" x14ac:dyDescent="0.2"/>
    <row r="152" spans="2:9" s="2" customFormat="1" ht="15" x14ac:dyDescent="0.2"/>
    <row r="153" spans="2:9" s="2" customFormat="1" ht="15" x14ac:dyDescent="0.2">
      <c r="B153" s="2" t="s">
        <v>98</v>
      </c>
      <c r="F153" s="2" t="s">
        <v>99</v>
      </c>
      <c r="I153" s="60" t="s">
        <v>104</v>
      </c>
    </row>
    <row r="154" spans="2:9" s="2" customFormat="1" ht="15" x14ac:dyDescent="0.2">
      <c r="B154" s="2" t="s">
        <v>100</v>
      </c>
      <c r="F154" s="2" t="s">
        <v>101</v>
      </c>
      <c r="I154" s="60" t="s">
        <v>105</v>
      </c>
    </row>
    <row r="155" spans="2:9" s="2" customFormat="1" ht="15" x14ac:dyDescent="0.2"/>
  </sheetData>
  <mergeCells count="2">
    <mergeCell ref="K6:K7"/>
    <mergeCell ref="B6:B7"/>
  </mergeCells>
  <pageMargins left="0" right="0" top="0.78740157480314965" bottom="0.78740157480314965" header="0.39370078740157483" footer="0.39370078740157483"/>
  <pageSetup scale="61" orientation="landscape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showGridLines="0" topLeftCell="C1" zoomScale="85" zoomScaleNormal="85" workbookViewId="0">
      <selection activeCell="M1" sqref="M1"/>
    </sheetView>
  </sheetViews>
  <sheetFormatPr baseColWidth="10" defaultRowHeight="14.25" x14ac:dyDescent="0.2"/>
  <cols>
    <col min="1" max="1" width="11.7109375" style="66" customWidth="1"/>
    <col min="2" max="2" width="48.7109375" style="66" customWidth="1"/>
    <col min="3" max="3" width="16.28515625" style="66" customWidth="1"/>
    <col min="4" max="4" width="13.42578125" style="66" customWidth="1"/>
    <col min="5" max="5" width="14.5703125" style="66" customWidth="1"/>
    <col min="6" max="6" width="13" style="66" customWidth="1"/>
    <col min="7" max="7" width="14.5703125" style="66" customWidth="1"/>
    <col min="8" max="8" width="12.85546875" style="66" customWidth="1"/>
    <col min="9" max="9" width="14.140625" style="66" customWidth="1"/>
    <col min="10" max="10" width="13.5703125" style="66" customWidth="1"/>
    <col min="11" max="11" width="13.85546875" style="66" customWidth="1"/>
    <col min="12" max="12" width="13.5703125" style="66" customWidth="1"/>
    <col min="13" max="13" width="13.85546875" style="66" customWidth="1"/>
    <col min="14" max="14" width="16.28515625" style="66" customWidth="1"/>
    <col min="15" max="15" width="15.7109375" style="145" customWidth="1"/>
    <col min="16" max="16" width="16.28515625" style="66" customWidth="1"/>
    <col min="17" max="17" width="10.7109375" style="66" customWidth="1"/>
    <col min="18" max="18" width="20.42578125" style="66" customWidth="1"/>
    <col min="19" max="19" width="18.7109375" style="66" customWidth="1"/>
    <col min="20" max="16384" width="11.42578125" style="66"/>
  </cols>
  <sheetData>
    <row r="1" spans="1:19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32"/>
      <c r="P1" s="64"/>
      <c r="Q1" s="64"/>
      <c r="R1" s="65"/>
      <c r="S1" s="65"/>
    </row>
    <row r="2" spans="1:19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132"/>
      <c r="P2" s="64"/>
      <c r="Q2" s="64"/>
      <c r="R2" s="65"/>
      <c r="S2" s="65"/>
    </row>
    <row r="3" spans="1:19" ht="15.75" x14ac:dyDescent="0.25">
      <c r="A3" s="64" t="s">
        <v>301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132"/>
      <c r="P3" s="64"/>
      <c r="Q3" s="64"/>
      <c r="R3" s="65"/>
      <c r="S3" s="65"/>
    </row>
    <row r="4" spans="1:19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32"/>
      <c r="P4" s="64"/>
      <c r="Q4" s="64"/>
      <c r="R4" s="65"/>
      <c r="S4" s="65"/>
    </row>
    <row r="5" spans="1:19" ht="15.7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33"/>
      <c r="P5" s="65"/>
      <c r="Q5" s="65"/>
      <c r="R5" s="65"/>
      <c r="S5" s="65"/>
    </row>
    <row r="6" spans="1:19" ht="16.5" thickBot="1" x14ac:dyDescent="0.3">
      <c r="A6" s="67" t="s">
        <v>102</v>
      </c>
      <c r="B6" s="181" t="s">
        <v>5</v>
      </c>
      <c r="C6" s="68" t="s">
        <v>6</v>
      </c>
      <c r="D6" s="69" t="s">
        <v>7</v>
      </c>
      <c r="E6" s="69"/>
      <c r="F6" s="69" t="s">
        <v>8</v>
      </c>
      <c r="G6" s="69"/>
      <c r="H6" s="69" t="s">
        <v>9</v>
      </c>
      <c r="I6" s="69"/>
      <c r="J6" s="69" t="s">
        <v>295</v>
      </c>
      <c r="K6" s="69"/>
      <c r="L6" s="69" t="s">
        <v>300</v>
      </c>
      <c r="M6" s="69"/>
      <c r="N6" s="67" t="s">
        <v>6</v>
      </c>
      <c r="O6" s="185" t="s">
        <v>10</v>
      </c>
      <c r="P6" s="67" t="s">
        <v>11</v>
      </c>
      <c r="Q6" s="68" t="s">
        <v>12</v>
      </c>
      <c r="R6" s="65"/>
      <c r="S6" s="65"/>
    </row>
    <row r="7" spans="1:19" ht="16.5" thickBot="1" x14ac:dyDescent="0.3">
      <c r="A7" s="70" t="s">
        <v>103</v>
      </c>
      <c r="B7" s="182"/>
      <c r="C7" s="70" t="s">
        <v>13</v>
      </c>
      <c r="D7" s="70" t="s">
        <v>14</v>
      </c>
      <c r="E7" s="70" t="s">
        <v>15</v>
      </c>
      <c r="F7" s="70" t="s">
        <v>14</v>
      </c>
      <c r="G7" s="70" t="s">
        <v>15</v>
      </c>
      <c r="H7" s="70" t="s">
        <v>14</v>
      </c>
      <c r="I7" s="70" t="s">
        <v>15</v>
      </c>
      <c r="J7" s="70" t="s">
        <v>14</v>
      </c>
      <c r="K7" s="70" t="s">
        <v>15</v>
      </c>
      <c r="L7" s="70" t="s">
        <v>14</v>
      </c>
      <c r="M7" s="70" t="s">
        <v>15</v>
      </c>
      <c r="N7" s="70" t="s">
        <v>16</v>
      </c>
      <c r="O7" s="186"/>
      <c r="P7" s="70" t="s">
        <v>17</v>
      </c>
      <c r="Q7" s="71" t="s">
        <v>18</v>
      </c>
      <c r="R7" s="65"/>
      <c r="S7" s="65"/>
    </row>
    <row r="8" spans="1:19" s="113" customFormat="1" ht="8.1" customHeight="1" x14ac:dyDescent="0.2">
      <c r="A8" s="91"/>
      <c r="B8" s="9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34"/>
      <c r="P8" s="125"/>
      <c r="Q8" s="91"/>
    </row>
    <row r="9" spans="1:19" s="113" customFormat="1" ht="17.100000000000001" customHeight="1" x14ac:dyDescent="0.25">
      <c r="A9" s="73"/>
      <c r="B9" s="74" t="s">
        <v>19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135"/>
      <c r="P9" s="75"/>
      <c r="Q9" s="73"/>
    </row>
    <row r="10" spans="1:19" s="65" customFormat="1" ht="17.100000000000001" customHeight="1" x14ac:dyDescent="0.25">
      <c r="A10" s="72"/>
      <c r="B10" s="76" t="s">
        <v>20</v>
      </c>
      <c r="C10" s="77">
        <f>198363.1+404138.05</f>
        <v>602501.15</v>
      </c>
      <c r="D10" s="77"/>
      <c r="E10" s="77">
        <v>4196.8500000000004</v>
      </c>
      <c r="F10" s="77"/>
      <c r="G10" s="77"/>
      <c r="H10" s="77"/>
      <c r="I10" s="77"/>
      <c r="J10" s="77"/>
      <c r="K10" s="77"/>
      <c r="L10" s="77"/>
      <c r="M10" s="77"/>
      <c r="N10" s="77">
        <f t="shared" ref="N10:N19" si="0">C10+D10-E10+F10-G10+H10-I10+J10-K10</f>
        <v>598304.30000000005</v>
      </c>
      <c r="O10" s="136">
        <v>0</v>
      </c>
      <c r="P10" s="77">
        <f>N10-O10</f>
        <v>598304.30000000005</v>
      </c>
      <c r="Q10" s="78">
        <f>O10/$O$20</f>
        <v>0</v>
      </c>
    </row>
    <row r="11" spans="1:19" s="65" customFormat="1" ht="17.100000000000001" customHeight="1" x14ac:dyDescent="0.2">
      <c r="A11" s="72" t="s">
        <v>241</v>
      </c>
      <c r="B11" s="72" t="s">
        <v>265</v>
      </c>
      <c r="C11" s="77">
        <v>15000</v>
      </c>
      <c r="D11" s="77">
        <v>13000</v>
      </c>
      <c r="E11" s="77"/>
      <c r="F11" s="77">
        <v>12500</v>
      </c>
      <c r="G11" s="77"/>
      <c r="H11" s="77"/>
      <c r="I11" s="77"/>
      <c r="J11" s="77"/>
      <c r="K11" s="77"/>
      <c r="L11" s="77"/>
      <c r="M11" s="77"/>
      <c r="N11" s="77">
        <f t="shared" si="0"/>
        <v>40500</v>
      </c>
      <c r="O11" s="136">
        <v>32032</v>
      </c>
      <c r="P11" s="77">
        <f>N11-O11</f>
        <v>8468</v>
      </c>
      <c r="Q11" s="78">
        <f>O11/$O$20</f>
        <v>6.4083939846050972E-3</v>
      </c>
    </row>
    <row r="12" spans="1:19" s="65" customFormat="1" ht="17.100000000000001" customHeight="1" x14ac:dyDescent="0.2">
      <c r="A12" s="72" t="s">
        <v>242</v>
      </c>
      <c r="B12" s="72" t="s">
        <v>266</v>
      </c>
      <c r="C12" s="77">
        <v>65000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>
        <f t="shared" si="0"/>
        <v>65000</v>
      </c>
      <c r="O12" s="136">
        <v>64088.72</v>
      </c>
      <c r="P12" s="77">
        <f t="shared" ref="P12:P14" si="1">N12-O12</f>
        <v>911.27999999999884</v>
      </c>
      <c r="Q12" s="78">
        <f t="shared" ref="Q12:Q19" si="2">O12/$O$20</f>
        <v>1.2821733508024489E-2</v>
      </c>
    </row>
    <row r="13" spans="1:19" s="65" customFormat="1" ht="17.100000000000001" customHeight="1" x14ac:dyDescent="0.2">
      <c r="A13" s="79" t="s">
        <v>243</v>
      </c>
      <c r="B13" s="72" t="s">
        <v>267</v>
      </c>
      <c r="C13" s="77">
        <v>3500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>
        <f t="shared" si="0"/>
        <v>3500</v>
      </c>
      <c r="O13" s="136">
        <v>0</v>
      </c>
      <c r="P13" s="77">
        <f t="shared" si="1"/>
        <v>3500</v>
      </c>
      <c r="Q13" s="78">
        <f t="shared" si="2"/>
        <v>0</v>
      </c>
    </row>
    <row r="14" spans="1:19" s="65" customFormat="1" ht="17.100000000000001" customHeight="1" x14ac:dyDescent="0.2">
      <c r="A14" s="79">
        <v>15.1</v>
      </c>
      <c r="B14" s="72" t="s">
        <v>247</v>
      </c>
      <c r="C14" s="77">
        <v>3000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>
        <f t="shared" si="0"/>
        <v>3000</v>
      </c>
      <c r="O14" s="136">
        <v>1233.5</v>
      </c>
      <c r="P14" s="77">
        <f t="shared" si="1"/>
        <v>1766.5</v>
      </c>
      <c r="Q14" s="78">
        <f t="shared" si="2"/>
        <v>2.467767850902344E-4</v>
      </c>
    </row>
    <row r="15" spans="1:19" s="65" customFormat="1" ht="17.100000000000001" customHeight="1" x14ac:dyDescent="0.2">
      <c r="A15" s="72" t="s">
        <v>24</v>
      </c>
      <c r="B15" s="72" t="s">
        <v>25</v>
      </c>
      <c r="C15" s="77">
        <v>2745062.93</v>
      </c>
      <c r="D15" s="77">
        <v>95966.17</v>
      </c>
      <c r="E15" s="77"/>
      <c r="F15" s="77"/>
      <c r="G15" s="77"/>
      <c r="H15" s="77"/>
      <c r="I15" s="77"/>
      <c r="J15" s="77"/>
      <c r="K15" s="77"/>
      <c r="L15" s="77"/>
      <c r="M15" s="77"/>
      <c r="N15" s="77">
        <f t="shared" si="0"/>
        <v>2841029.1</v>
      </c>
      <c r="O15" s="136">
        <v>2263018.02</v>
      </c>
      <c r="P15" s="77">
        <f>N15-O15</f>
        <v>578011.08000000007</v>
      </c>
      <c r="Q15" s="78">
        <f t="shared" si="2"/>
        <v>0.45274447634930504</v>
      </c>
    </row>
    <row r="16" spans="1:19" s="65" customFormat="1" ht="17.100000000000001" customHeight="1" x14ac:dyDescent="0.2">
      <c r="A16" s="72" t="s">
        <v>26</v>
      </c>
      <c r="B16" s="72" t="s">
        <v>27</v>
      </c>
      <c r="C16" s="77">
        <v>4934974.71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>
        <f t="shared" si="0"/>
        <v>4934974.71</v>
      </c>
      <c r="O16" s="136">
        <v>260706.83</v>
      </c>
      <c r="P16" s="77">
        <f t="shared" ref="P16:P19" si="3">N16-O16</f>
        <v>4674267.88</v>
      </c>
      <c r="Q16" s="78">
        <f t="shared" si="2"/>
        <v>5.2157594939980761E-2</v>
      </c>
    </row>
    <row r="17" spans="1:17" s="65" customFormat="1" ht="17.100000000000001" customHeight="1" x14ac:dyDescent="0.2">
      <c r="A17" s="72" t="s">
        <v>28</v>
      </c>
      <c r="B17" s="72" t="s">
        <v>29</v>
      </c>
      <c r="C17" s="77">
        <v>1290000</v>
      </c>
      <c r="D17" s="77"/>
      <c r="E17" s="77">
        <v>8059.23</v>
      </c>
      <c r="F17" s="77">
        <v>242187</v>
      </c>
      <c r="G17" s="77"/>
      <c r="H17" s="77">
        <v>240000</v>
      </c>
      <c r="I17" s="77"/>
      <c r="J17" s="77"/>
      <c r="K17" s="77"/>
      <c r="L17" s="77"/>
      <c r="M17" s="77"/>
      <c r="N17" s="77">
        <f t="shared" si="0"/>
        <v>1764127.77</v>
      </c>
      <c r="O17" s="136">
        <v>1582579.36</v>
      </c>
      <c r="P17" s="77">
        <f t="shared" si="3"/>
        <v>181548.40999999992</v>
      </c>
      <c r="Q17" s="78">
        <f t="shared" si="2"/>
        <v>0.316614387199806</v>
      </c>
    </row>
    <row r="18" spans="1:17" s="65" customFormat="1" ht="17.100000000000001" customHeight="1" x14ac:dyDescent="0.2">
      <c r="A18" s="72" t="s">
        <v>30</v>
      </c>
      <c r="B18" s="72" t="s">
        <v>31</v>
      </c>
      <c r="C18" s="77">
        <v>20000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>
        <f t="shared" si="0"/>
        <v>20000</v>
      </c>
      <c r="O18" s="136">
        <v>20000</v>
      </c>
      <c r="P18" s="77">
        <f t="shared" si="3"/>
        <v>0</v>
      </c>
      <c r="Q18" s="78">
        <f t="shared" si="2"/>
        <v>4.0012449953828032E-3</v>
      </c>
    </row>
    <row r="19" spans="1:17" s="65" customFormat="1" ht="17.100000000000001" customHeight="1" thickBot="1" x14ac:dyDescent="0.25">
      <c r="A19" s="72"/>
      <c r="B19" s="72" t="s">
        <v>32</v>
      </c>
      <c r="C19" s="77">
        <f>850000+14137.2+261097.2</f>
        <v>1125234.3999999999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>
        <f t="shared" si="0"/>
        <v>1125234.3999999999</v>
      </c>
      <c r="O19" s="136">
        <v>774785.81</v>
      </c>
      <c r="P19" s="77">
        <f t="shared" si="3"/>
        <v>350448.58999999985</v>
      </c>
      <c r="Q19" s="78">
        <f t="shared" si="2"/>
        <v>0.15500539223780557</v>
      </c>
    </row>
    <row r="20" spans="1:17" s="65" customFormat="1" ht="17.100000000000001" customHeight="1" thickBot="1" x14ac:dyDescent="0.3">
      <c r="A20" s="80"/>
      <c r="B20" s="80" t="s">
        <v>33</v>
      </c>
      <c r="C20" s="81">
        <f>SUM(C10:C19)</f>
        <v>10804273.189999999</v>
      </c>
      <c r="D20" s="81">
        <f t="shared" ref="D20:E20" si="4">SUM(D10:D19)</f>
        <v>108966.17</v>
      </c>
      <c r="E20" s="81">
        <f t="shared" si="4"/>
        <v>12256.08</v>
      </c>
      <c r="F20" s="81">
        <f t="shared" ref="F20:M20" si="5">SUM(F11:F18)</f>
        <v>254687</v>
      </c>
      <c r="G20" s="81">
        <f t="shared" si="5"/>
        <v>0</v>
      </c>
      <c r="H20" s="81">
        <f t="shared" si="5"/>
        <v>240000</v>
      </c>
      <c r="I20" s="81">
        <f t="shared" si="5"/>
        <v>0</v>
      </c>
      <c r="J20" s="81">
        <f t="shared" si="5"/>
        <v>0</v>
      </c>
      <c r="K20" s="81">
        <f t="shared" si="5"/>
        <v>0</v>
      </c>
      <c r="L20" s="81">
        <f t="shared" si="5"/>
        <v>0</v>
      </c>
      <c r="M20" s="81">
        <f t="shared" si="5"/>
        <v>0</v>
      </c>
      <c r="N20" s="81">
        <f>SUM(N10:N19)</f>
        <v>11395670.279999999</v>
      </c>
      <c r="O20" s="137">
        <f>SUM(O10:O19)</f>
        <v>4998444.24</v>
      </c>
      <c r="P20" s="81">
        <f>SUM(P10:P19)</f>
        <v>6397226.04</v>
      </c>
      <c r="Q20" s="82">
        <v>0</v>
      </c>
    </row>
    <row r="21" spans="1:17" s="113" customFormat="1" ht="8.1" customHeight="1" x14ac:dyDescent="0.2">
      <c r="A21" s="126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38"/>
      <c r="P21" s="127"/>
      <c r="Q21" s="128"/>
    </row>
    <row r="22" spans="1:17" s="113" customFormat="1" ht="17.100000000000001" customHeight="1" x14ac:dyDescent="0.25">
      <c r="A22" s="129" t="s">
        <v>4</v>
      </c>
      <c r="B22" s="74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139"/>
      <c r="P22" s="83"/>
      <c r="Q22" s="84"/>
    </row>
    <row r="23" spans="1:17" s="65" customFormat="1" ht="17.100000000000001" customHeight="1" x14ac:dyDescent="0.25">
      <c r="A23" s="76"/>
      <c r="B23" s="8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36"/>
      <c r="P23" s="77"/>
      <c r="Q23" s="78"/>
    </row>
    <row r="24" spans="1:17" s="65" customFormat="1" ht="17.100000000000001" customHeight="1" x14ac:dyDescent="0.25">
      <c r="A24" s="86">
        <v>0</v>
      </c>
      <c r="B24" s="87" t="s">
        <v>35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136"/>
      <c r="P24" s="77"/>
      <c r="Q24" s="78"/>
    </row>
    <row r="25" spans="1:17" s="65" customFormat="1" ht="17.100000000000001" customHeight="1" x14ac:dyDescent="0.2">
      <c r="A25" s="88" t="s">
        <v>36</v>
      </c>
      <c r="B25" s="72" t="s">
        <v>106</v>
      </c>
      <c r="C25" s="77">
        <v>773194.52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>
        <f t="shared" ref="N25:N36" si="6">C25+D25-E25+F25-G25+H25-I25+J25-K25</f>
        <v>773194.52</v>
      </c>
      <c r="O25" s="136">
        <v>592958.12999999989</v>
      </c>
      <c r="P25" s="77">
        <f t="shared" ref="P25:P88" si="7">N25-O25</f>
        <v>180236.39000000013</v>
      </c>
      <c r="Q25" s="78">
        <f t="shared" ref="Q25:Q36" si="8">O25/$O$123</f>
        <v>0.13314674870786095</v>
      </c>
    </row>
    <row r="26" spans="1:17" s="65" customFormat="1" ht="17.100000000000001" customHeight="1" x14ac:dyDescent="0.2">
      <c r="A26" s="88" t="s">
        <v>37</v>
      </c>
      <c r="B26" s="72" t="s">
        <v>107</v>
      </c>
      <c r="C26" s="77">
        <v>4500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>
        <f t="shared" si="6"/>
        <v>4500</v>
      </c>
      <c r="O26" s="136">
        <v>3750</v>
      </c>
      <c r="P26" s="77">
        <f t="shared" si="7"/>
        <v>750</v>
      </c>
      <c r="Q26" s="78">
        <f t="shared" si="8"/>
        <v>8.420498554501288E-4</v>
      </c>
    </row>
    <row r="27" spans="1:17" s="65" customFormat="1" ht="17.100000000000001" customHeight="1" x14ac:dyDescent="0.2">
      <c r="A27" s="88" t="s">
        <v>38</v>
      </c>
      <c r="B27" s="72" t="s">
        <v>108</v>
      </c>
      <c r="C27" s="77">
        <v>140850</v>
      </c>
      <c r="D27" s="77"/>
      <c r="E27" s="77"/>
      <c r="F27" s="77"/>
      <c r="G27" s="77"/>
      <c r="H27" s="77">
        <v>20000</v>
      </c>
      <c r="I27" s="77"/>
      <c r="J27" s="77"/>
      <c r="K27" s="77"/>
      <c r="L27" s="77"/>
      <c r="M27" s="77"/>
      <c r="N27" s="77">
        <f t="shared" si="6"/>
        <v>160850</v>
      </c>
      <c r="O27" s="136">
        <v>97707.63</v>
      </c>
      <c r="P27" s="77">
        <f t="shared" si="7"/>
        <v>63142.369999999995</v>
      </c>
      <c r="Q27" s="78">
        <f t="shared" si="8"/>
        <v>2.1939918858099913E-2</v>
      </c>
    </row>
    <row r="28" spans="1:17" s="65" customFormat="1" ht="17.100000000000001" customHeight="1" x14ac:dyDescent="0.2">
      <c r="A28" s="131" t="s">
        <v>281</v>
      </c>
      <c r="B28" s="72" t="s">
        <v>282</v>
      </c>
      <c r="C28" s="77">
        <v>0</v>
      </c>
      <c r="D28" s="77"/>
      <c r="E28" s="77"/>
      <c r="F28" s="77">
        <v>79750</v>
      </c>
      <c r="G28" s="77"/>
      <c r="H28" s="77"/>
      <c r="I28" s="77"/>
      <c r="J28" s="77"/>
      <c r="K28" s="77"/>
      <c r="L28" s="77"/>
      <c r="M28" s="77"/>
      <c r="N28" s="77">
        <f t="shared" si="6"/>
        <v>79750</v>
      </c>
      <c r="O28" s="136">
        <v>14580.65</v>
      </c>
      <c r="P28" s="77">
        <f t="shared" si="7"/>
        <v>65169.35</v>
      </c>
      <c r="Q28" s="78">
        <f t="shared" si="8"/>
        <v>3.2740357932983786E-3</v>
      </c>
    </row>
    <row r="29" spans="1:17" s="65" customFormat="1" ht="17.100000000000001" customHeight="1" x14ac:dyDescent="0.2">
      <c r="A29" s="88" t="s">
        <v>40</v>
      </c>
      <c r="B29" s="72" t="s">
        <v>283</v>
      </c>
      <c r="C29" s="77">
        <v>0</v>
      </c>
      <c r="D29" s="77"/>
      <c r="E29" s="77"/>
      <c r="F29" s="77">
        <v>3250</v>
      </c>
      <c r="G29" s="77"/>
      <c r="H29" s="77"/>
      <c r="I29" s="77"/>
      <c r="J29" s="77"/>
      <c r="K29" s="77"/>
      <c r="L29" s="77"/>
      <c r="M29" s="77"/>
      <c r="N29" s="77">
        <f t="shared" si="6"/>
        <v>3250</v>
      </c>
      <c r="O29" s="136">
        <v>1048.3899999999999</v>
      </c>
      <c r="P29" s="77">
        <f t="shared" si="7"/>
        <v>2201.61</v>
      </c>
      <c r="Q29" s="78">
        <f t="shared" si="8"/>
        <v>2.3541243945476278E-4</v>
      </c>
    </row>
    <row r="30" spans="1:17" s="65" customFormat="1" ht="17.100000000000001" customHeight="1" x14ac:dyDescent="0.2">
      <c r="A30" s="88" t="s">
        <v>41</v>
      </c>
      <c r="B30" s="72" t="s">
        <v>110</v>
      </c>
      <c r="C30" s="77">
        <v>15400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>
        <f t="shared" si="6"/>
        <v>15400</v>
      </c>
      <c r="O30" s="136">
        <v>13852.64</v>
      </c>
      <c r="P30" s="77">
        <f t="shared" si="7"/>
        <v>1547.3600000000006</v>
      </c>
      <c r="Q30" s="78">
        <f t="shared" si="8"/>
        <v>3.1105636025607125E-3</v>
      </c>
    </row>
    <row r="31" spans="1:17" s="65" customFormat="1" ht="17.100000000000001" customHeight="1" x14ac:dyDescent="0.2">
      <c r="A31" s="88" t="s">
        <v>42</v>
      </c>
      <c r="B31" s="72" t="s">
        <v>111</v>
      </c>
      <c r="C31" s="77">
        <v>42629.35</v>
      </c>
      <c r="D31" s="77"/>
      <c r="E31" s="77"/>
      <c r="F31" s="77"/>
      <c r="G31" s="77"/>
      <c r="H31" s="77">
        <v>25000</v>
      </c>
      <c r="I31" s="77"/>
      <c r="J31" s="77"/>
      <c r="K31" s="77"/>
      <c r="L31" s="77"/>
      <c r="M31" s="77"/>
      <c r="N31" s="77">
        <f t="shared" si="6"/>
        <v>67629.350000000006</v>
      </c>
      <c r="O31" s="136">
        <v>42348.979999999996</v>
      </c>
      <c r="P31" s="77">
        <f t="shared" si="7"/>
        <v>25280.37000000001</v>
      </c>
      <c r="Q31" s="78">
        <f t="shared" si="8"/>
        <v>9.5093206633227716E-3</v>
      </c>
    </row>
    <row r="32" spans="1:17" s="65" customFormat="1" ht="17.100000000000001" customHeight="1" x14ac:dyDescent="0.2">
      <c r="A32" s="88" t="s">
        <v>43</v>
      </c>
      <c r="B32" s="72" t="s">
        <v>234</v>
      </c>
      <c r="C32" s="77">
        <v>89741</v>
      </c>
      <c r="D32" s="77"/>
      <c r="E32" s="77"/>
      <c r="F32" s="77"/>
      <c r="G32" s="77"/>
      <c r="H32" s="77">
        <v>3500</v>
      </c>
      <c r="I32" s="77"/>
      <c r="J32" s="77"/>
      <c r="K32" s="77"/>
      <c r="L32" s="77"/>
      <c r="M32" s="77"/>
      <c r="N32" s="77">
        <f t="shared" si="6"/>
        <v>93241</v>
      </c>
      <c r="O32" s="136">
        <v>62734.94000000001</v>
      </c>
      <c r="P32" s="77">
        <f t="shared" si="7"/>
        <v>30506.05999999999</v>
      </c>
      <c r="Q32" s="78">
        <f t="shared" si="8"/>
        <v>1.408691924231267E-2</v>
      </c>
    </row>
    <row r="33" spans="1:19" ht="17.100000000000001" customHeight="1" x14ac:dyDescent="0.2">
      <c r="A33" s="88" t="s">
        <v>44</v>
      </c>
      <c r="B33" s="72" t="s">
        <v>235</v>
      </c>
      <c r="C33" s="77">
        <v>7478.416666666667</v>
      </c>
      <c r="D33" s="77"/>
      <c r="E33" s="77"/>
      <c r="F33" s="77"/>
      <c r="G33" s="77"/>
      <c r="H33" s="77">
        <v>2000</v>
      </c>
      <c r="I33" s="77"/>
      <c r="J33" s="77"/>
      <c r="K33" s="77"/>
      <c r="L33" s="77"/>
      <c r="M33" s="77"/>
      <c r="N33" s="77">
        <f t="shared" si="6"/>
        <v>9478.4166666666679</v>
      </c>
      <c r="O33" s="136">
        <v>5879.5500000000011</v>
      </c>
      <c r="P33" s="77">
        <f t="shared" si="7"/>
        <v>3598.8666666666668</v>
      </c>
      <c r="Q33" s="78">
        <f t="shared" si="8"/>
        <v>1.3202331273631481E-3</v>
      </c>
      <c r="R33" s="65"/>
      <c r="S33" s="65"/>
    </row>
    <row r="34" spans="1:19" ht="17.100000000000001" customHeight="1" x14ac:dyDescent="0.2">
      <c r="A34" s="88" t="s">
        <v>45</v>
      </c>
      <c r="B34" s="72" t="s">
        <v>46</v>
      </c>
      <c r="C34" s="77">
        <v>64432.876666666663</v>
      </c>
      <c r="D34" s="77"/>
      <c r="E34" s="77"/>
      <c r="F34" s="77"/>
      <c r="G34" s="77"/>
      <c r="H34" s="77">
        <v>12000</v>
      </c>
      <c r="I34" s="77"/>
      <c r="J34" s="77"/>
      <c r="K34" s="77"/>
      <c r="L34" s="77"/>
      <c r="M34" s="77"/>
      <c r="N34" s="77">
        <f t="shared" si="6"/>
        <v>76432.876666666663</v>
      </c>
      <c r="O34" s="136">
        <v>2656.18</v>
      </c>
      <c r="P34" s="77">
        <f t="shared" si="7"/>
        <v>73776.69666666667</v>
      </c>
      <c r="Q34" s="78">
        <f t="shared" si="8"/>
        <v>5.9643626267987275E-4</v>
      </c>
      <c r="R34" s="65"/>
      <c r="S34" s="65"/>
    </row>
    <row r="35" spans="1:19" ht="17.100000000000001" customHeight="1" x14ac:dyDescent="0.2">
      <c r="A35" s="88" t="s">
        <v>47</v>
      </c>
      <c r="B35" s="72" t="s">
        <v>114</v>
      </c>
      <c r="C35" s="77">
        <v>64432.876666666663</v>
      </c>
      <c r="D35" s="77"/>
      <c r="E35" s="77"/>
      <c r="F35" s="77"/>
      <c r="G35" s="77"/>
      <c r="H35" s="77">
        <v>6000</v>
      </c>
      <c r="I35" s="77"/>
      <c r="J35" s="77"/>
      <c r="K35" s="77"/>
      <c r="L35" s="77"/>
      <c r="M35" s="77"/>
      <c r="N35" s="77">
        <f t="shared" si="6"/>
        <v>70432.876666666663</v>
      </c>
      <c r="O35" s="136">
        <v>63540.950000000004</v>
      </c>
      <c r="P35" s="77">
        <f t="shared" si="7"/>
        <v>6891.926666666659</v>
      </c>
      <c r="Q35" s="78">
        <f t="shared" si="8"/>
        <v>1.4267906070043697E-2</v>
      </c>
      <c r="R35" s="65"/>
      <c r="S35" s="65"/>
    </row>
    <row r="36" spans="1:19" ht="17.100000000000001" customHeight="1" x14ac:dyDescent="0.2">
      <c r="A36" s="88" t="s">
        <v>48</v>
      </c>
      <c r="B36" s="72" t="s">
        <v>49</v>
      </c>
      <c r="C36" s="77">
        <v>4000</v>
      </c>
      <c r="D36" s="77"/>
      <c r="E36" s="77"/>
      <c r="F36" s="77"/>
      <c r="G36" s="77"/>
      <c r="H36" s="77">
        <v>5500</v>
      </c>
      <c r="I36" s="77"/>
      <c r="J36" s="77"/>
      <c r="K36" s="77"/>
      <c r="L36" s="77"/>
      <c r="M36" s="77"/>
      <c r="N36" s="77">
        <f t="shared" si="6"/>
        <v>9500</v>
      </c>
      <c r="O36" s="136">
        <v>234.52</v>
      </c>
      <c r="P36" s="77">
        <f t="shared" si="7"/>
        <v>9265.48</v>
      </c>
      <c r="Q36" s="78">
        <f t="shared" si="8"/>
        <v>5.2660675226710456E-5</v>
      </c>
      <c r="R36" s="65"/>
      <c r="S36" s="65"/>
    </row>
    <row r="37" spans="1:19" ht="17.100000000000001" customHeight="1" x14ac:dyDescent="0.2">
      <c r="A37" s="88"/>
      <c r="B37" s="7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136"/>
      <c r="P37" s="77"/>
      <c r="Q37" s="78"/>
      <c r="R37" s="65"/>
      <c r="S37" s="65"/>
    </row>
    <row r="38" spans="1:19" ht="17.100000000000001" customHeight="1" x14ac:dyDescent="0.25">
      <c r="A38" s="86">
        <v>1</v>
      </c>
      <c r="B38" s="87" t="s">
        <v>50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136"/>
      <c r="P38" s="77"/>
      <c r="Q38" s="78"/>
      <c r="R38" s="65"/>
      <c r="S38" s="65"/>
    </row>
    <row r="39" spans="1:19" ht="17.100000000000001" customHeight="1" x14ac:dyDescent="0.2">
      <c r="A39" s="88" t="s">
        <v>115</v>
      </c>
      <c r="B39" s="72" t="s">
        <v>51</v>
      </c>
      <c r="C39" s="77">
        <v>11723.320000000002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>
        <f t="shared" ref="N39:N43" si="9">C39+D39-E39+F39-G39+H39-I39+J39-K39</f>
        <v>11723.320000000002</v>
      </c>
      <c r="O39" s="136">
        <v>6839.2599999999993</v>
      </c>
      <c r="P39" s="77">
        <f t="shared" si="7"/>
        <v>4884.0600000000022</v>
      </c>
      <c r="Q39" s="78">
        <f t="shared" ref="Q39:Q72" si="10">O39/$O$123</f>
        <v>1.5357327718362259E-3</v>
      </c>
      <c r="R39" s="65"/>
      <c r="S39" s="65"/>
    </row>
    <row r="40" spans="1:19" ht="17.100000000000001" customHeight="1" x14ac:dyDescent="0.2">
      <c r="A40" s="88" t="s">
        <v>116</v>
      </c>
      <c r="B40" s="72" t="s">
        <v>52</v>
      </c>
      <c r="C40" s="77">
        <v>24780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>
        <f t="shared" si="9"/>
        <v>24780</v>
      </c>
      <c r="O40" s="136">
        <v>18397.5</v>
      </c>
      <c r="P40" s="77">
        <f t="shared" si="7"/>
        <v>6382.5</v>
      </c>
      <c r="Q40" s="78">
        <f t="shared" si="10"/>
        <v>4.1310965908383322E-3</v>
      </c>
      <c r="R40" s="65"/>
      <c r="S40" s="65"/>
    </row>
    <row r="41" spans="1:19" ht="17.100000000000001" customHeight="1" x14ac:dyDescent="0.2">
      <c r="A41" s="88" t="s">
        <v>117</v>
      </c>
      <c r="B41" s="72" t="s">
        <v>53</v>
      </c>
      <c r="C41" s="77">
        <v>2500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>
        <f t="shared" si="9"/>
        <v>2500</v>
      </c>
      <c r="O41" s="136">
        <v>226</v>
      </c>
      <c r="P41" s="77">
        <f t="shared" si="7"/>
        <v>2274</v>
      </c>
      <c r="Q41" s="78">
        <f t="shared" si="10"/>
        <v>5.0747537955127764E-5</v>
      </c>
      <c r="R41" s="65"/>
      <c r="S41" s="65"/>
    </row>
    <row r="42" spans="1:19" ht="17.100000000000001" customHeight="1" x14ac:dyDescent="0.2">
      <c r="A42" s="88" t="s">
        <v>118</v>
      </c>
      <c r="B42" s="72" t="s">
        <v>54</v>
      </c>
      <c r="C42" s="77">
        <v>4464</v>
      </c>
      <c r="D42" s="77">
        <v>1200</v>
      </c>
      <c r="E42" s="77"/>
      <c r="F42" s="77">
        <v>4500</v>
      </c>
      <c r="G42" s="77"/>
      <c r="H42" s="77"/>
      <c r="I42" s="77"/>
      <c r="J42" s="77"/>
      <c r="K42" s="77"/>
      <c r="L42" s="77"/>
      <c r="M42" s="77"/>
      <c r="N42" s="77">
        <f t="shared" si="9"/>
        <v>10164</v>
      </c>
      <c r="O42" s="136">
        <v>7519.04</v>
      </c>
      <c r="P42" s="77">
        <f t="shared" si="7"/>
        <v>2644.96</v>
      </c>
      <c r="Q42" s="78">
        <f t="shared" si="10"/>
        <v>1.6883750786996631E-3</v>
      </c>
      <c r="R42" s="65"/>
      <c r="S42" s="65"/>
    </row>
    <row r="43" spans="1:19" ht="17.100000000000001" customHeight="1" x14ac:dyDescent="0.2">
      <c r="A43" s="88" t="s">
        <v>119</v>
      </c>
      <c r="B43" s="72" t="s">
        <v>120</v>
      </c>
      <c r="C43" s="77">
        <v>12200</v>
      </c>
      <c r="D43" s="77"/>
      <c r="E43" s="77"/>
      <c r="F43" s="77">
        <v>3500</v>
      </c>
      <c r="G43" s="77"/>
      <c r="H43" s="77"/>
      <c r="I43" s="77"/>
      <c r="J43" s="77"/>
      <c r="K43" s="77"/>
      <c r="L43" s="77"/>
      <c r="M43" s="77"/>
      <c r="N43" s="77">
        <f t="shared" si="9"/>
        <v>15700</v>
      </c>
      <c r="O43" s="136">
        <v>13248.5</v>
      </c>
      <c r="P43" s="77">
        <f t="shared" si="7"/>
        <v>2451.5</v>
      </c>
      <c r="Q43" s="78">
        <f t="shared" si="10"/>
        <v>2.9749060026482751E-3</v>
      </c>
      <c r="R43" s="65"/>
      <c r="S43" s="65"/>
    </row>
    <row r="44" spans="1:19" ht="17.100000000000001" customHeight="1" x14ac:dyDescent="0.2">
      <c r="A44" s="88" t="s">
        <v>121</v>
      </c>
      <c r="B44" s="72" t="s">
        <v>122</v>
      </c>
      <c r="C44" s="77">
        <v>1218400</v>
      </c>
      <c r="D44" s="77">
        <v>64062.78</v>
      </c>
      <c r="E44" s="77"/>
      <c r="F44" s="77"/>
      <c r="G44" s="77"/>
      <c r="H44" s="77">
        <v>77500</v>
      </c>
      <c r="I44" s="77"/>
      <c r="J44" s="77">
        <v>100000</v>
      </c>
      <c r="K44" s="77"/>
      <c r="L44" s="77">
        <v>208000</v>
      </c>
      <c r="M44" s="77"/>
      <c r="N44" s="77">
        <f>C44+D44-E44+F44-G44+H44-I44+J44-K44+L44</f>
        <v>1667962.78</v>
      </c>
      <c r="O44" s="136">
        <v>1118986.45</v>
      </c>
      <c r="P44" s="77">
        <f t="shared" si="7"/>
        <v>548976.33000000007</v>
      </c>
      <c r="Q44" s="78">
        <f t="shared" si="10"/>
        <v>0.2512646342595074</v>
      </c>
      <c r="R44" s="65"/>
      <c r="S44" s="97"/>
    </row>
    <row r="45" spans="1:19" ht="17.100000000000001" customHeight="1" x14ac:dyDescent="0.2">
      <c r="A45" s="88" t="s">
        <v>123</v>
      </c>
      <c r="B45" s="72" t="s">
        <v>124</v>
      </c>
      <c r="C45" s="77">
        <v>0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>
        <v>0</v>
      </c>
      <c r="O45" s="136">
        <v>0</v>
      </c>
      <c r="P45" s="77">
        <f t="shared" si="7"/>
        <v>0</v>
      </c>
      <c r="Q45" s="78">
        <f t="shared" si="10"/>
        <v>0</v>
      </c>
      <c r="R45" s="65"/>
      <c r="S45" s="65"/>
    </row>
    <row r="46" spans="1:19" ht="17.100000000000001" customHeight="1" x14ac:dyDescent="0.2">
      <c r="A46" s="88" t="s">
        <v>125</v>
      </c>
      <c r="B46" s="72" t="s">
        <v>126</v>
      </c>
      <c r="C46" s="77">
        <v>0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>
        <v>0</v>
      </c>
      <c r="O46" s="136">
        <v>0</v>
      </c>
      <c r="P46" s="77">
        <f t="shared" si="7"/>
        <v>0</v>
      </c>
      <c r="Q46" s="78">
        <f t="shared" si="10"/>
        <v>0</v>
      </c>
      <c r="R46" s="65"/>
      <c r="S46" s="65"/>
    </row>
    <row r="47" spans="1:19" ht="17.100000000000001" customHeight="1" x14ac:dyDescent="0.2">
      <c r="A47" s="88" t="s">
        <v>127</v>
      </c>
      <c r="B47" s="72" t="s">
        <v>55</v>
      </c>
      <c r="C47" s="77">
        <v>104664</v>
      </c>
      <c r="D47" s="77">
        <v>13644</v>
      </c>
      <c r="E47" s="77"/>
      <c r="F47" s="77"/>
      <c r="G47" s="77"/>
      <c r="H47" s="77"/>
      <c r="I47" s="77"/>
      <c r="J47" s="77"/>
      <c r="K47" s="77"/>
      <c r="L47" s="77"/>
      <c r="M47" s="77">
        <v>50000</v>
      </c>
      <c r="N47" s="77">
        <f>C47+D47-E47+F47-G47+H47-I47+J47-K47-M47</f>
        <v>68308</v>
      </c>
      <c r="O47" s="136">
        <v>45623.37</v>
      </c>
      <c r="P47" s="77">
        <f t="shared" si="7"/>
        <v>22684.629999999997</v>
      </c>
      <c r="Q47" s="78">
        <f t="shared" si="10"/>
        <v>1.0244573896972732E-2</v>
      </c>
      <c r="R47" s="65"/>
      <c r="S47" s="65"/>
    </row>
    <row r="48" spans="1:19" ht="17.100000000000001" customHeight="1" x14ac:dyDescent="0.2">
      <c r="A48" s="88" t="s">
        <v>128</v>
      </c>
      <c r="B48" s="72" t="s">
        <v>237</v>
      </c>
      <c r="C48" s="77">
        <v>459374.84</v>
      </c>
      <c r="D48" s="77">
        <v>11548.31</v>
      </c>
      <c r="E48" s="77"/>
      <c r="F48" s="77"/>
      <c r="G48" s="77"/>
      <c r="H48" s="77"/>
      <c r="I48" s="77"/>
      <c r="J48" s="77"/>
      <c r="K48" s="77"/>
      <c r="L48" s="77"/>
      <c r="M48" s="77">
        <v>40000</v>
      </c>
      <c r="N48" s="77">
        <f>C48+D48-E48+F48-G48+H48-I48+J48-K48-M48</f>
        <v>430923.15</v>
      </c>
      <c r="O48" s="136">
        <v>355016.44</v>
      </c>
      <c r="P48" s="77">
        <f t="shared" si="7"/>
        <v>75906.710000000021</v>
      </c>
      <c r="Q48" s="78">
        <f t="shared" si="10"/>
        <v>7.9717744529178486E-2</v>
      </c>
      <c r="R48" s="65"/>
      <c r="S48" s="65"/>
    </row>
    <row r="49" spans="1:19" ht="17.100000000000001" customHeight="1" x14ac:dyDescent="0.2">
      <c r="A49" s="88" t="s">
        <v>130</v>
      </c>
      <c r="B49" s="72" t="s">
        <v>56</v>
      </c>
      <c r="C49" s="77">
        <v>9000</v>
      </c>
      <c r="D49" s="77"/>
      <c r="E49" s="77"/>
      <c r="F49" s="77"/>
      <c r="G49" s="77"/>
      <c r="H49" s="77">
        <v>7500</v>
      </c>
      <c r="I49" s="77"/>
      <c r="J49" s="77"/>
      <c r="K49" s="77"/>
      <c r="L49" s="77"/>
      <c r="M49" s="77">
        <v>5000</v>
      </c>
      <c r="N49" s="77">
        <f>C49+D49-E49+F49-G49+H49-I49+J49-K49-M49</f>
        <v>11500</v>
      </c>
      <c r="O49" s="136">
        <v>9488.19</v>
      </c>
      <c r="P49" s="77">
        <f t="shared" si="7"/>
        <v>2011.8099999999995</v>
      </c>
      <c r="Q49" s="78">
        <f t="shared" si="10"/>
        <v>2.1305410714622286E-3</v>
      </c>
      <c r="R49" s="65"/>
      <c r="S49" s="65"/>
    </row>
    <row r="50" spans="1:19" ht="17.100000000000001" customHeight="1" x14ac:dyDescent="0.2">
      <c r="A50" s="88" t="s">
        <v>131</v>
      </c>
      <c r="B50" s="72" t="s">
        <v>57</v>
      </c>
      <c r="C50" s="77">
        <v>25000</v>
      </c>
      <c r="D50" s="77"/>
      <c r="E50" s="77"/>
      <c r="F50" s="77">
        <v>27000</v>
      </c>
      <c r="G50" s="77"/>
      <c r="H50" s="77">
        <v>35000</v>
      </c>
      <c r="I50" s="77"/>
      <c r="J50" s="77"/>
      <c r="K50" s="77"/>
      <c r="L50" s="77"/>
      <c r="M50" s="77">
        <v>35000</v>
      </c>
      <c r="N50" s="77">
        <f>C50+D50-E50+F50-G50+H50-I50+J50-K50-M50</f>
        <v>52000</v>
      </c>
      <c r="O50" s="136">
        <v>46209.279999999999</v>
      </c>
      <c r="P50" s="77">
        <f t="shared" si="7"/>
        <v>5790.7200000000012</v>
      </c>
      <c r="Q50" s="78">
        <f t="shared" si="10"/>
        <v>1.037613801185454E-2</v>
      </c>
      <c r="R50" s="65"/>
      <c r="S50" s="65"/>
    </row>
    <row r="51" spans="1:19" ht="17.100000000000001" customHeight="1" x14ac:dyDescent="0.2">
      <c r="A51" s="88" t="s">
        <v>132</v>
      </c>
      <c r="B51" s="72" t="s">
        <v>133</v>
      </c>
      <c r="C51" s="77">
        <v>70560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>
        <f t="shared" ref="N51:N59" si="11">C51+D51-E51+F51-G51+H51-I51+J51-K51</f>
        <v>70560</v>
      </c>
      <c r="O51" s="136">
        <v>58800</v>
      </c>
      <c r="P51" s="77">
        <f t="shared" si="7"/>
        <v>11760</v>
      </c>
      <c r="Q51" s="78">
        <f t="shared" si="10"/>
        <v>1.320334173345802E-2</v>
      </c>
      <c r="R51" s="65"/>
      <c r="S51" s="65"/>
    </row>
    <row r="52" spans="1:19" ht="17.100000000000001" customHeight="1" x14ac:dyDescent="0.2">
      <c r="A52" s="88" t="s">
        <v>134</v>
      </c>
      <c r="B52" s="72" t="s">
        <v>58</v>
      </c>
      <c r="C52" s="77">
        <v>35200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>
        <f t="shared" si="11"/>
        <v>35200</v>
      </c>
      <c r="O52" s="136">
        <v>28875</v>
      </c>
      <c r="P52" s="77">
        <f t="shared" si="7"/>
        <v>6325</v>
      </c>
      <c r="Q52" s="78">
        <f t="shared" si="10"/>
        <v>6.4837838869659919E-3</v>
      </c>
      <c r="R52" s="65"/>
      <c r="S52" s="65"/>
    </row>
    <row r="53" spans="1:19" ht="17.100000000000001" customHeight="1" x14ac:dyDescent="0.2">
      <c r="A53" s="88" t="s">
        <v>135</v>
      </c>
      <c r="B53" s="72" t="s">
        <v>59</v>
      </c>
      <c r="C53" s="77">
        <v>6550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>
        <f t="shared" si="11"/>
        <v>6550</v>
      </c>
      <c r="O53" s="136">
        <v>3335</v>
      </c>
      <c r="P53" s="77">
        <f t="shared" si="7"/>
        <v>3215</v>
      </c>
      <c r="Q53" s="78">
        <f t="shared" si="10"/>
        <v>7.4886300478031449E-4</v>
      </c>
      <c r="R53" s="65"/>
      <c r="S53" s="65"/>
    </row>
    <row r="54" spans="1:19" ht="17.100000000000001" customHeight="1" x14ac:dyDescent="0.2">
      <c r="A54" s="88" t="s">
        <v>136</v>
      </c>
      <c r="B54" s="72" t="s">
        <v>137</v>
      </c>
      <c r="C54" s="77">
        <v>2000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>
        <f t="shared" si="11"/>
        <v>2000</v>
      </c>
      <c r="O54" s="136">
        <v>945</v>
      </c>
      <c r="P54" s="77">
        <f t="shared" si="7"/>
        <v>1055</v>
      </c>
      <c r="Q54" s="78">
        <f t="shared" si="10"/>
        <v>2.1219656357343247E-4</v>
      </c>
      <c r="R54" s="65"/>
      <c r="S54" s="65"/>
    </row>
    <row r="55" spans="1:19" ht="17.100000000000001" customHeight="1" x14ac:dyDescent="0.2">
      <c r="A55" s="88" t="s">
        <v>138</v>
      </c>
      <c r="B55" s="72" t="s">
        <v>139</v>
      </c>
      <c r="C55" s="77">
        <v>10000</v>
      </c>
      <c r="D55" s="77"/>
      <c r="E55" s="77"/>
      <c r="F55" s="77"/>
      <c r="G55" s="77"/>
      <c r="H55" s="77"/>
      <c r="I55" s="77"/>
      <c r="J55" s="77">
        <v>35000</v>
      </c>
      <c r="K55" s="77"/>
      <c r="L55" s="77"/>
      <c r="M55" s="77"/>
      <c r="N55" s="77">
        <f t="shared" si="11"/>
        <v>45000</v>
      </c>
      <c r="O55" s="136">
        <v>23695</v>
      </c>
      <c r="P55" s="77">
        <f t="shared" si="7"/>
        <v>21305</v>
      </c>
      <c r="Q55" s="78">
        <f t="shared" si="10"/>
        <v>5.3206323533042136E-3</v>
      </c>
      <c r="R55" s="65"/>
      <c r="S55" s="65"/>
    </row>
    <row r="56" spans="1:19" ht="17.100000000000001" customHeight="1" x14ac:dyDescent="0.2">
      <c r="A56" s="88" t="s">
        <v>140</v>
      </c>
      <c r="B56" s="72" t="s">
        <v>141</v>
      </c>
      <c r="C56" s="77">
        <v>6900</v>
      </c>
      <c r="D56" s="77"/>
      <c r="E56" s="77"/>
      <c r="F56" s="77">
        <v>850</v>
      </c>
      <c r="G56" s="77"/>
      <c r="H56" s="77"/>
      <c r="I56" s="77"/>
      <c r="J56" s="77"/>
      <c r="K56" s="77"/>
      <c r="L56" s="77"/>
      <c r="M56" s="77"/>
      <c r="N56" s="77">
        <f t="shared" si="11"/>
        <v>7750</v>
      </c>
      <c r="O56" s="136">
        <v>749.71</v>
      </c>
      <c r="P56" s="77">
        <f t="shared" si="7"/>
        <v>7000.29</v>
      </c>
      <c r="Q56" s="78">
        <f t="shared" si="10"/>
        <v>1.6834485256787097E-4</v>
      </c>
      <c r="R56" s="65"/>
      <c r="S56" s="65"/>
    </row>
    <row r="57" spans="1:19" ht="17.100000000000001" customHeight="1" x14ac:dyDescent="0.2">
      <c r="A57" s="88" t="s">
        <v>142</v>
      </c>
      <c r="B57" s="72" t="s">
        <v>143</v>
      </c>
      <c r="C57" s="77">
        <v>3000</v>
      </c>
      <c r="D57" s="77"/>
      <c r="E57" s="77"/>
      <c r="F57" s="77"/>
      <c r="G57" s="77"/>
      <c r="H57" s="77">
        <v>2500</v>
      </c>
      <c r="I57" s="77"/>
      <c r="J57" s="77"/>
      <c r="K57" s="77"/>
      <c r="L57" s="77"/>
      <c r="M57" s="77"/>
      <c r="N57" s="77">
        <f t="shared" si="11"/>
        <v>5500</v>
      </c>
      <c r="O57" s="136">
        <v>3000</v>
      </c>
      <c r="P57" s="77">
        <f t="shared" si="7"/>
        <v>2500</v>
      </c>
      <c r="Q57" s="78">
        <f t="shared" si="10"/>
        <v>6.7363988436010302E-4</v>
      </c>
      <c r="R57" s="65"/>
      <c r="S57" s="65"/>
    </row>
    <row r="58" spans="1:19" ht="17.100000000000001" customHeight="1" x14ac:dyDescent="0.2">
      <c r="A58" s="88" t="s">
        <v>144</v>
      </c>
      <c r="B58" s="72" t="s">
        <v>145</v>
      </c>
      <c r="C58" s="77">
        <v>5000</v>
      </c>
      <c r="D58" s="77">
        <v>250</v>
      </c>
      <c r="E58" s="77"/>
      <c r="F58" s="77">
        <v>12285</v>
      </c>
      <c r="G58" s="77"/>
      <c r="H58" s="77">
        <v>8500</v>
      </c>
      <c r="I58" s="77"/>
      <c r="J58" s="77"/>
      <c r="K58" s="77"/>
      <c r="L58" s="77"/>
      <c r="M58" s="77"/>
      <c r="N58" s="77">
        <f t="shared" si="11"/>
        <v>26035</v>
      </c>
      <c r="O58" s="136">
        <v>11200</v>
      </c>
      <c r="P58" s="77">
        <f t="shared" si="7"/>
        <v>14835</v>
      </c>
      <c r="Q58" s="78">
        <f t="shared" si="10"/>
        <v>2.5149222349443849E-3</v>
      </c>
      <c r="R58" s="65"/>
      <c r="S58" s="65"/>
    </row>
    <row r="59" spans="1:19" ht="17.100000000000001" customHeight="1" x14ac:dyDescent="0.2">
      <c r="A59" s="88" t="s">
        <v>146</v>
      </c>
      <c r="B59" s="72" t="s">
        <v>147</v>
      </c>
      <c r="C59" s="77">
        <v>180000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>
        <f t="shared" si="11"/>
        <v>180000</v>
      </c>
      <c r="O59" s="136">
        <v>84000</v>
      </c>
      <c r="P59" s="77">
        <f t="shared" si="7"/>
        <v>96000</v>
      </c>
      <c r="Q59" s="78">
        <f t="shared" si="10"/>
        <v>1.8861916762082886E-2</v>
      </c>
      <c r="R59" s="65"/>
      <c r="S59" s="65"/>
    </row>
    <row r="60" spans="1:19" ht="17.100000000000001" customHeight="1" x14ac:dyDescent="0.2">
      <c r="A60" s="88" t="s">
        <v>148</v>
      </c>
      <c r="B60" s="72" t="s">
        <v>149</v>
      </c>
      <c r="C60" s="77">
        <v>0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>
        <v>0</v>
      </c>
      <c r="O60" s="136">
        <v>0</v>
      </c>
      <c r="P60" s="77">
        <f t="shared" si="7"/>
        <v>0</v>
      </c>
      <c r="Q60" s="78">
        <f t="shared" si="10"/>
        <v>0</v>
      </c>
      <c r="R60" s="65"/>
      <c r="S60" s="65"/>
    </row>
    <row r="61" spans="1:19" ht="17.100000000000001" customHeight="1" x14ac:dyDescent="0.2">
      <c r="A61" s="88" t="s">
        <v>150</v>
      </c>
      <c r="B61" s="72" t="s">
        <v>151</v>
      </c>
      <c r="C61" s="77">
        <v>40600</v>
      </c>
      <c r="D61" s="77"/>
      <c r="E61" s="77">
        <v>16600</v>
      </c>
      <c r="F61" s="77"/>
      <c r="G61" s="77"/>
      <c r="H61" s="77"/>
      <c r="I61" s="77"/>
      <c r="J61" s="77"/>
      <c r="K61" s="77"/>
      <c r="L61" s="77"/>
      <c r="M61" s="77"/>
      <c r="N61" s="77">
        <f t="shared" ref="N61:N72" si="12">C61+D61-E61+F61-G61+H61-I61+J61-K61</f>
        <v>24000</v>
      </c>
      <c r="O61" s="136">
        <v>15075</v>
      </c>
      <c r="P61" s="77">
        <f t="shared" si="7"/>
        <v>8925</v>
      </c>
      <c r="Q61" s="78">
        <f t="shared" si="10"/>
        <v>3.3850404189095179E-3</v>
      </c>
      <c r="R61" s="65"/>
      <c r="S61" s="65"/>
    </row>
    <row r="62" spans="1:19" ht="17.100000000000001" customHeight="1" x14ac:dyDescent="0.2">
      <c r="A62" s="88" t="s">
        <v>152</v>
      </c>
      <c r="B62" s="72" t="s">
        <v>153</v>
      </c>
      <c r="C62" s="77">
        <v>60000</v>
      </c>
      <c r="D62" s="77"/>
      <c r="E62" s="77">
        <v>6000</v>
      </c>
      <c r="F62" s="77"/>
      <c r="G62" s="77"/>
      <c r="H62" s="77"/>
      <c r="I62" s="77"/>
      <c r="J62" s="77"/>
      <c r="K62" s="77"/>
      <c r="L62" s="77"/>
      <c r="M62" s="77"/>
      <c r="N62" s="77">
        <f t="shared" si="12"/>
        <v>54000</v>
      </c>
      <c r="O62" s="136">
        <v>45000</v>
      </c>
      <c r="P62" s="77">
        <f t="shared" si="7"/>
        <v>9000</v>
      </c>
      <c r="Q62" s="78">
        <f t="shared" si="10"/>
        <v>1.0104598265401546E-2</v>
      </c>
      <c r="R62" s="65"/>
      <c r="S62" s="65"/>
    </row>
    <row r="63" spans="1:19" ht="17.100000000000001" customHeight="1" x14ac:dyDescent="0.2">
      <c r="A63" s="88" t="s">
        <v>154</v>
      </c>
      <c r="B63" s="72" t="s">
        <v>60</v>
      </c>
      <c r="C63" s="77">
        <v>11300</v>
      </c>
      <c r="D63" s="77"/>
      <c r="E63" s="77"/>
      <c r="F63" s="77">
        <v>10000</v>
      </c>
      <c r="G63" s="77"/>
      <c r="H63" s="77"/>
      <c r="I63" s="77"/>
      <c r="J63" s="77"/>
      <c r="K63" s="77"/>
      <c r="L63" s="77"/>
      <c r="M63" s="77"/>
      <c r="N63" s="77">
        <f t="shared" si="12"/>
        <v>21300</v>
      </c>
      <c r="O63" s="136">
        <v>5748</v>
      </c>
      <c r="P63" s="77">
        <f t="shared" si="7"/>
        <v>15552</v>
      </c>
      <c r="Q63" s="78">
        <f t="shared" si="10"/>
        <v>1.2906940184339575E-3</v>
      </c>
      <c r="R63" s="65"/>
      <c r="S63" s="65"/>
    </row>
    <row r="64" spans="1:19" ht="17.100000000000001" customHeight="1" x14ac:dyDescent="0.2">
      <c r="A64" s="88" t="s">
        <v>155</v>
      </c>
      <c r="B64" s="72" t="s">
        <v>268</v>
      </c>
      <c r="C64" s="77">
        <v>15500</v>
      </c>
      <c r="D64" s="77"/>
      <c r="E64" s="77"/>
      <c r="F64" s="77">
        <v>18000</v>
      </c>
      <c r="G64" s="77"/>
      <c r="H64" s="77"/>
      <c r="I64" s="77"/>
      <c r="J64" s="77"/>
      <c r="K64" s="77"/>
      <c r="L64" s="77"/>
      <c r="M64" s="77"/>
      <c r="N64" s="77">
        <f t="shared" si="12"/>
        <v>33500</v>
      </c>
      <c r="O64" s="136">
        <v>20635</v>
      </c>
      <c r="P64" s="77">
        <f t="shared" si="7"/>
        <v>12865</v>
      </c>
      <c r="Q64" s="78">
        <f t="shared" si="10"/>
        <v>4.6335196712569086E-3</v>
      </c>
      <c r="R64" s="65"/>
      <c r="S64" s="65"/>
    </row>
    <row r="65" spans="1:19" ht="17.100000000000001" customHeight="1" x14ac:dyDescent="0.2">
      <c r="A65" s="88" t="s">
        <v>157</v>
      </c>
      <c r="B65" s="72" t="s">
        <v>61</v>
      </c>
      <c r="C65" s="77">
        <v>24394.959999999995</v>
      </c>
      <c r="D65" s="77"/>
      <c r="E65" s="77">
        <v>3200</v>
      </c>
      <c r="F65" s="77">
        <v>12000</v>
      </c>
      <c r="G65" s="77"/>
      <c r="H65" s="77"/>
      <c r="I65" s="77"/>
      <c r="J65" s="77"/>
      <c r="K65" s="77"/>
      <c r="L65" s="77"/>
      <c r="M65" s="77"/>
      <c r="N65" s="77">
        <f t="shared" si="12"/>
        <v>33194.959999999992</v>
      </c>
      <c r="O65" s="136">
        <v>28922.1</v>
      </c>
      <c r="P65" s="77">
        <f t="shared" si="7"/>
        <v>4272.8599999999933</v>
      </c>
      <c r="Q65" s="78">
        <f t="shared" si="10"/>
        <v>6.4943600331504453E-3</v>
      </c>
      <c r="R65" s="65"/>
      <c r="S65" s="65"/>
    </row>
    <row r="66" spans="1:19" ht="17.100000000000001" customHeight="1" x14ac:dyDescent="0.2">
      <c r="A66" s="88" t="s">
        <v>158</v>
      </c>
      <c r="B66" s="72" t="s">
        <v>62</v>
      </c>
      <c r="C66" s="77">
        <v>80000</v>
      </c>
      <c r="D66" s="77"/>
      <c r="E66" s="77"/>
      <c r="F66" s="77">
        <v>27500</v>
      </c>
      <c r="G66" s="77"/>
      <c r="H66" s="77"/>
      <c r="I66" s="77"/>
      <c r="J66" s="77"/>
      <c r="K66" s="77"/>
      <c r="L66" s="77"/>
      <c r="M66" s="77"/>
      <c r="N66" s="77">
        <f t="shared" si="12"/>
        <v>107500</v>
      </c>
      <c r="O66" s="136">
        <v>0</v>
      </c>
      <c r="P66" s="77">
        <f t="shared" si="7"/>
        <v>107500</v>
      </c>
      <c r="Q66" s="78">
        <f t="shared" si="10"/>
        <v>0</v>
      </c>
      <c r="R66" s="65"/>
      <c r="S66" s="65"/>
    </row>
    <row r="67" spans="1:19" ht="17.100000000000001" customHeight="1" x14ac:dyDescent="0.2">
      <c r="A67" s="88" t="s">
        <v>159</v>
      </c>
      <c r="B67" s="72" t="s">
        <v>238</v>
      </c>
      <c r="C67" s="77">
        <v>244000</v>
      </c>
      <c r="D67" s="77"/>
      <c r="E67" s="77">
        <v>12800</v>
      </c>
      <c r="F67" s="77">
        <v>18000</v>
      </c>
      <c r="G67" s="77"/>
      <c r="H67" s="77"/>
      <c r="I67" s="77"/>
      <c r="J67" s="77"/>
      <c r="K67" s="77"/>
      <c r="L67" s="77"/>
      <c r="M67" s="77"/>
      <c r="N67" s="77">
        <f t="shared" si="12"/>
        <v>249200</v>
      </c>
      <c r="O67" s="136">
        <v>204888.38</v>
      </c>
      <c r="P67" s="77">
        <f t="shared" si="7"/>
        <v>44311.619999999995</v>
      </c>
      <c r="Q67" s="78">
        <f t="shared" si="10"/>
        <v>4.6006994869976281E-2</v>
      </c>
      <c r="R67" s="65"/>
      <c r="S67" s="65"/>
    </row>
    <row r="68" spans="1:19" ht="17.100000000000001" customHeight="1" x14ac:dyDescent="0.2">
      <c r="A68" s="88" t="s">
        <v>160</v>
      </c>
      <c r="B68" s="72" t="s">
        <v>64</v>
      </c>
      <c r="C68" s="77">
        <v>11250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>
        <f t="shared" si="12"/>
        <v>11250</v>
      </c>
      <c r="O68" s="136">
        <v>6782</v>
      </c>
      <c r="P68" s="77">
        <f t="shared" si="7"/>
        <v>4468</v>
      </c>
      <c r="Q68" s="78">
        <f t="shared" si="10"/>
        <v>1.5228752319100729E-3</v>
      </c>
      <c r="R68" s="65"/>
      <c r="S68" s="65"/>
    </row>
    <row r="69" spans="1:19" ht="17.100000000000001" customHeight="1" x14ac:dyDescent="0.2">
      <c r="A69" s="88" t="s">
        <v>161</v>
      </c>
      <c r="B69" s="72" t="s">
        <v>239</v>
      </c>
      <c r="C69" s="77">
        <v>5000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>
        <f t="shared" si="12"/>
        <v>5000</v>
      </c>
      <c r="O69" s="136">
        <v>1367.34</v>
      </c>
      <c r="P69" s="77">
        <f t="shared" si="7"/>
        <v>3632.66</v>
      </c>
      <c r="Q69" s="78">
        <f t="shared" si="10"/>
        <v>3.0703158649364774E-4</v>
      </c>
      <c r="R69" s="65"/>
      <c r="S69" s="65"/>
    </row>
    <row r="70" spans="1:19" ht="17.100000000000001" customHeight="1" x14ac:dyDescent="0.2">
      <c r="A70" s="88" t="s">
        <v>163</v>
      </c>
      <c r="B70" s="72" t="s">
        <v>164</v>
      </c>
      <c r="C70" s="77">
        <v>5000</v>
      </c>
      <c r="D70" s="77"/>
      <c r="E70" s="77"/>
      <c r="F70" s="77">
        <v>11500</v>
      </c>
      <c r="G70" s="77"/>
      <c r="H70" s="77">
        <v>25000</v>
      </c>
      <c r="I70" s="77"/>
      <c r="J70" s="77"/>
      <c r="K70" s="77"/>
      <c r="L70" s="77"/>
      <c r="M70" s="77"/>
      <c r="N70" s="77">
        <f t="shared" si="12"/>
        <v>41500</v>
      </c>
      <c r="O70" s="136">
        <v>36388.54</v>
      </c>
      <c r="P70" s="77">
        <f t="shared" si="7"/>
        <v>5111.4599999999991</v>
      </c>
      <c r="Q70" s="78">
        <f t="shared" si="10"/>
        <v>8.1709239592109954E-3</v>
      </c>
      <c r="R70" s="65"/>
      <c r="S70" s="65"/>
    </row>
    <row r="71" spans="1:19" ht="17.100000000000001" customHeight="1" x14ac:dyDescent="0.2">
      <c r="A71" s="88" t="s">
        <v>165</v>
      </c>
      <c r="B71" s="72" t="s">
        <v>65</v>
      </c>
      <c r="C71" s="77">
        <v>21150</v>
      </c>
      <c r="D71" s="77">
        <v>970</v>
      </c>
      <c r="E71" s="77"/>
      <c r="F71" s="77">
        <v>24500</v>
      </c>
      <c r="G71" s="77">
        <v>9500</v>
      </c>
      <c r="H71" s="77">
        <v>10000</v>
      </c>
      <c r="I71" s="77"/>
      <c r="J71" s="77">
        <v>1000</v>
      </c>
      <c r="K71" s="77"/>
      <c r="L71" s="77"/>
      <c r="M71" s="77"/>
      <c r="N71" s="77">
        <f t="shared" si="12"/>
        <v>48120</v>
      </c>
      <c r="O71" s="136">
        <v>23292.5</v>
      </c>
      <c r="P71" s="77">
        <f t="shared" si="7"/>
        <v>24827.5</v>
      </c>
      <c r="Q71" s="78">
        <f t="shared" si="10"/>
        <v>5.2302523354858998E-3</v>
      </c>
      <c r="R71" s="65"/>
      <c r="S71" s="65"/>
    </row>
    <row r="72" spans="1:19" ht="17.100000000000001" customHeight="1" x14ac:dyDescent="0.2">
      <c r="A72" s="88" t="s">
        <v>166</v>
      </c>
      <c r="B72" s="72" t="s">
        <v>167</v>
      </c>
      <c r="C72" s="77">
        <v>17000</v>
      </c>
      <c r="D72" s="77">
        <v>750</v>
      </c>
      <c r="E72" s="77"/>
      <c r="F72" s="77">
        <v>5000</v>
      </c>
      <c r="G72" s="77"/>
      <c r="H72" s="77">
        <v>7500</v>
      </c>
      <c r="I72" s="77"/>
      <c r="J72" s="77"/>
      <c r="K72" s="77"/>
      <c r="L72" s="77"/>
      <c r="M72" s="77"/>
      <c r="N72" s="77">
        <f t="shared" si="12"/>
        <v>30250</v>
      </c>
      <c r="O72" s="136">
        <v>6021.74</v>
      </c>
      <c r="P72" s="77">
        <f t="shared" si="7"/>
        <v>24228.260000000002</v>
      </c>
      <c r="Q72" s="78">
        <f t="shared" si="10"/>
        <v>1.3521614124155355E-3</v>
      </c>
      <c r="R72" s="65"/>
      <c r="S72" s="65"/>
    </row>
    <row r="73" spans="1:19" ht="17.100000000000001" customHeight="1" x14ac:dyDescent="0.2">
      <c r="A73" s="88"/>
      <c r="B73" s="72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>
        <v>0</v>
      </c>
      <c r="O73" s="136"/>
      <c r="P73" s="77"/>
      <c r="Q73" s="78"/>
      <c r="R73" s="65"/>
      <c r="S73" s="65"/>
    </row>
    <row r="74" spans="1:19" ht="17.100000000000001" customHeight="1" x14ac:dyDescent="0.25">
      <c r="A74" s="86">
        <v>2</v>
      </c>
      <c r="B74" s="87" t="s">
        <v>66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>
        <v>0</v>
      </c>
      <c r="O74" s="136"/>
      <c r="P74" s="77"/>
      <c r="Q74" s="78"/>
      <c r="R74" s="65"/>
      <c r="S74" s="65"/>
    </row>
    <row r="75" spans="1:19" ht="17.100000000000001" customHeight="1" x14ac:dyDescent="0.2">
      <c r="A75" s="88" t="s">
        <v>168</v>
      </c>
      <c r="B75" s="72" t="s">
        <v>67</v>
      </c>
      <c r="C75" s="77">
        <v>116357.64</v>
      </c>
      <c r="D75" s="77">
        <v>40914</v>
      </c>
      <c r="E75" s="77"/>
      <c r="F75" s="77">
        <v>8500</v>
      </c>
      <c r="G75" s="77"/>
      <c r="H75" s="77"/>
      <c r="I75" s="77"/>
      <c r="J75" s="77">
        <v>5500</v>
      </c>
      <c r="K75" s="77"/>
      <c r="L75" s="77"/>
      <c r="M75" s="77"/>
      <c r="N75" s="77">
        <f t="shared" ref="N75:N104" si="13">C75+D75-E75+F75-G75+H75-I75+J75-K75</f>
        <v>171271.64</v>
      </c>
      <c r="O75" s="136">
        <v>62733.7</v>
      </c>
      <c r="P75" s="77">
        <f t="shared" si="7"/>
        <v>108537.94000000002</v>
      </c>
      <c r="Q75" s="78">
        <f t="shared" ref="Q75:Q104" si="14">O75/$O$123</f>
        <v>1.4086640804493797E-2</v>
      </c>
      <c r="R75" s="65"/>
      <c r="S75" s="65"/>
    </row>
    <row r="76" spans="1:19" ht="17.100000000000001" customHeight="1" x14ac:dyDescent="0.2">
      <c r="A76" s="88" t="s">
        <v>254</v>
      </c>
      <c r="B76" s="72" t="s">
        <v>255</v>
      </c>
      <c r="C76" s="77">
        <v>0</v>
      </c>
      <c r="D76" s="77">
        <v>750</v>
      </c>
      <c r="E76" s="77"/>
      <c r="F76" s="77"/>
      <c r="G76" s="77"/>
      <c r="H76" s="77"/>
      <c r="I76" s="77"/>
      <c r="J76" s="77"/>
      <c r="K76" s="77"/>
      <c r="L76" s="77"/>
      <c r="M76" s="77"/>
      <c r="N76" s="77">
        <f t="shared" si="13"/>
        <v>750</v>
      </c>
      <c r="O76" s="136">
        <v>0</v>
      </c>
      <c r="P76" s="77">
        <f t="shared" si="7"/>
        <v>750</v>
      </c>
      <c r="Q76" s="78">
        <f t="shared" si="14"/>
        <v>0</v>
      </c>
      <c r="R76" s="65"/>
      <c r="S76" s="65"/>
    </row>
    <row r="77" spans="1:19" ht="17.100000000000001" customHeight="1" x14ac:dyDescent="0.2">
      <c r="A77" s="88" t="s">
        <v>170</v>
      </c>
      <c r="B77" s="72" t="s">
        <v>69</v>
      </c>
      <c r="C77" s="77">
        <v>2080</v>
      </c>
      <c r="D77" s="77">
        <v>4500</v>
      </c>
      <c r="E77" s="77"/>
      <c r="F77" s="77">
        <v>3000</v>
      </c>
      <c r="G77" s="77"/>
      <c r="H77" s="77"/>
      <c r="I77" s="77"/>
      <c r="J77" s="77"/>
      <c r="K77" s="77"/>
      <c r="L77" s="77"/>
      <c r="M77" s="77"/>
      <c r="N77" s="77">
        <f t="shared" si="13"/>
        <v>9580</v>
      </c>
      <c r="O77" s="136">
        <v>3495</v>
      </c>
      <c r="P77" s="77">
        <f t="shared" si="7"/>
        <v>6085</v>
      </c>
      <c r="Q77" s="78">
        <f t="shared" si="14"/>
        <v>7.8479046527952004E-4</v>
      </c>
      <c r="R77" s="65"/>
      <c r="S77" s="65"/>
    </row>
    <row r="78" spans="1:19" ht="17.100000000000001" customHeight="1" x14ac:dyDescent="0.2">
      <c r="A78" s="88" t="s">
        <v>171</v>
      </c>
      <c r="B78" s="72" t="s">
        <v>70</v>
      </c>
      <c r="C78" s="77">
        <v>62500</v>
      </c>
      <c r="D78" s="77">
        <v>6450</v>
      </c>
      <c r="E78" s="77"/>
      <c r="F78" s="77">
        <v>7500</v>
      </c>
      <c r="G78" s="77"/>
      <c r="H78" s="77"/>
      <c r="I78" s="77"/>
      <c r="J78" s="77">
        <v>2000</v>
      </c>
      <c r="K78" s="77"/>
      <c r="L78" s="77"/>
      <c r="M78" s="77"/>
      <c r="N78" s="77">
        <f t="shared" si="13"/>
        <v>78450</v>
      </c>
      <c r="O78" s="136">
        <v>33036</v>
      </c>
      <c r="P78" s="77">
        <f t="shared" si="7"/>
        <v>45414</v>
      </c>
      <c r="Q78" s="78">
        <f t="shared" si="14"/>
        <v>7.4181224065734547E-3</v>
      </c>
      <c r="R78" s="65"/>
      <c r="S78" s="65"/>
    </row>
    <row r="79" spans="1:19" ht="17.100000000000001" customHeight="1" x14ac:dyDescent="0.2">
      <c r="A79" s="88" t="s">
        <v>172</v>
      </c>
      <c r="B79" s="72" t="s">
        <v>71</v>
      </c>
      <c r="C79" s="77">
        <v>6000</v>
      </c>
      <c r="D79" s="77">
        <v>750</v>
      </c>
      <c r="E79" s="77"/>
      <c r="F79" s="77"/>
      <c r="G79" s="77"/>
      <c r="H79" s="77"/>
      <c r="I79" s="77"/>
      <c r="J79" s="77"/>
      <c r="K79" s="77"/>
      <c r="L79" s="77"/>
      <c r="M79" s="77"/>
      <c r="N79" s="77">
        <f>C79+D79-E79+F79-G79+H79-I79+J79-K79+L79</f>
        <v>6750</v>
      </c>
      <c r="O79" s="136">
        <v>2667.05</v>
      </c>
      <c r="P79" s="77">
        <f t="shared" si="7"/>
        <v>4082.95</v>
      </c>
      <c r="Q79" s="78">
        <f t="shared" si="14"/>
        <v>5.9887708452753769E-4</v>
      </c>
      <c r="R79" s="65"/>
      <c r="S79" s="65"/>
    </row>
    <row r="80" spans="1:19" ht="17.100000000000001" customHeight="1" x14ac:dyDescent="0.2">
      <c r="A80" s="88" t="s">
        <v>173</v>
      </c>
      <c r="B80" s="72" t="s">
        <v>72</v>
      </c>
      <c r="C80" s="77">
        <v>1100</v>
      </c>
      <c r="D80" s="77"/>
      <c r="E80" s="77"/>
      <c r="F80" s="77"/>
      <c r="G80" s="77"/>
      <c r="H80" s="77"/>
      <c r="I80" s="77"/>
      <c r="J80" s="77"/>
      <c r="K80" s="77"/>
      <c r="L80" s="77">
        <v>2000</v>
      </c>
      <c r="M80" s="77"/>
      <c r="N80" s="77">
        <f>C80+D80-E80+F80-G80+H80-I80+J80-K80+L80</f>
        <v>3100</v>
      </c>
      <c r="O80" s="136">
        <v>1174.75</v>
      </c>
      <c r="P80" s="77">
        <f t="shared" si="7"/>
        <v>1925.25</v>
      </c>
      <c r="Q80" s="78">
        <f t="shared" si="14"/>
        <v>2.6378615138401037E-4</v>
      </c>
      <c r="R80" s="65"/>
      <c r="S80" s="65"/>
    </row>
    <row r="81" spans="1:19" ht="17.100000000000001" customHeight="1" x14ac:dyDescent="0.2">
      <c r="A81" s="88" t="s">
        <v>174</v>
      </c>
      <c r="B81" s="72" t="s">
        <v>175</v>
      </c>
      <c r="C81" s="77">
        <v>2255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>
        <f t="shared" si="13"/>
        <v>2255</v>
      </c>
      <c r="O81" s="136">
        <v>1604.4</v>
      </c>
      <c r="P81" s="77">
        <f t="shared" si="7"/>
        <v>650.59999999999991</v>
      </c>
      <c r="Q81" s="78">
        <f t="shared" si="14"/>
        <v>3.6026261015578313E-4</v>
      </c>
      <c r="R81" s="65"/>
      <c r="S81" s="65"/>
    </row>
    <row r="82" spans="1:19" ht="17.100000000000001" customHeight="1" x14ac:dyDescent="0.2">
      <c r="A82" s="88" t="s">
        <v>176</v>
      </c>
      <c r="B82" s="72" t="s">
        <v>177</v>
      </c>
      <c r="C82" s="77">
        <v>1300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>
        <f t="shared" si="13"/>
        <v>1300</v>
      </c>
      <c r="O82" s="136">
        <v>21</v>
      </c>
      <c r="P82" s="77">
        <f t="shared" si="7"/>
        <v>1279</v>
      </c>
      <c r="Q82" s="78">
        <f t="shared" si="14"/>
        <v>4.7154791905207212E-6</v>
      </c>
      <c r="R82" s="65"/>
      <c r="S82" s="65"/>
    </row>
    <row r="83" spans="1:19" ht="17.100000000000001" customHeight="1" x14ac:dyDescent="0.2">
      <c r="A83" s="88" t="s">
        <v>178</v>
      </c>
      <c r="B83" s="72" t="s">
        <v>179</v>
      </c>
      <c r="C83" s="77">
        <v>7500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>
        <f t="shared" si="13"/>
        <v>7500</v>
      </c>
      <c r="O83" s="136">
        <v>0</v>
      </c>
      <c r="P83" s="77">
        <f t="shared" si="7"/>
        <v>7500</v>
      </c>
      <c r="Q83" s="78">
        <f t="shared" si="14"/>
        <v>0</v>
      </c>
      <c r="R83" s="65"/>
      <c r="S83" s="65"/>
    </row>
    <row r="84" spans="1:19" ht="17.100000000000001" customHeight="1" x14ac:dyDescent="0.2">
      <c r="A84" s="88" t="s">
        <v>180</v>
      </c>
      <c r="B84" s="72" t="s">
        <v>73</v>
      </c>
      <c r="C84" s="77">
        <v>200</v>
      </c>
      <c r="D84" s="77">
        <v>1050</v>
      </c>
      <c r="E84" s="77"/>
      <c r="F84" s="77"/>
      <c r="G84" s="77"/>
      <c r="H84" s="77"/>
      <c r="I84" s="77"/>
      <c r="J84" s="77"/>
      <c r="K84" s="77"/>
      <c r="L84" s="77"/>
      <c r="M84" s="77"/>
      <c r="N84" s="77">
        <f>C84+D84-E84+F84-G84+H84-I84+J84-K84+L84</f>
        <v>1250</v>
      </c>
      <c r="O84" s="136">
        <v>330</v>
      </c>
      <c r="P84" s="77">
        <f t="shared" si="7"/>
        <v>920</v>
      </c>
      <c r="Q84" s="78">
        <f t="shared" si="14"/>
        <v>7.4100387279611333E-5</v>
      </c>
      <c r="R84" s="65"/>
      <c r="S84" s="65"/>
    </row>
    <row r="85" spans="1:19" ht="17.100000000000001" customHeight="1" x14ac:dyDescent="0.2">
      <c r="A85" s="88" t="s">
        <v>181</v>
      </c>
      <c r="B85" s="72" t="s">
        <v>74</v>
      </c>
      <c r="C85" s="77">
        <v>10920</v>
      </c>
      <c r="D85" s="77"/>
      <c r="E85" s="77">
        <v>2700</v>
      </c>
      <c r="F85" s="77"/>
      <c r="G85" s="77"/>
      <c r="H85" s="77"/>
      <c r="I85" s="77"/>
      <c r="J85" s="77"/>
      <c r="K85" s="77"/>
      <c r="L85" s="77">
        <v>3000</v>
      </c>
      <c r="M85" s="77"/>
      <c r="N85" s="77">
        <f>C85+D85-E85+F85-G85+H85-I85+J85-K85+L85</f>
        <v>11220</v>
      </c>
      <c r="O85" s="136">
        <v>8159.75</v>
      </c>
      <c r="P85" s="77">
        <f t="shared" si="7"/>
        <v>3060.25</v>
      </c>
      <c r="Q85" s="78">
        <f t="shared" si="14"/>
        <v>1.8322443488024503E-3</v>
      </c>
      <c r="R85" s="65"/>
      <c r="S85" s="65"/>
    </row>
    <row r="86" spans="1:19" ht="17.100000000000001" customHeight="1" x14ac:dyDescent="0.2">
      <c r="A86" s="88" t="s">
        <v>182</v>
      </c>
      <c r="B86" s="72" t="s">
        <v>183</v>
      </c>
      <c r="C86" s="77">
        <v>1850</v>
      </c>
      <c r="D86" s="77"/>
      <c r="E86" s="77"/>
      <c r="F86" s="77"/>
      <c r="G86" s="77"/>
      <c r="H86" s="77">
        <v>3500</v>
      </c>
      <c r="I86" s="77"/>
      <c r="J86" s="77"/>
      <c r="K86" s="77"/>
      <c r="L86" s="77"/>
      <c r="M86" s="77"/>
      <c r="N86" s="77">
        <f t="shared" si="13"/>
        <v>5350</v>
      </c>
      <c r="O86" s="136">
        <v>2618.04</v>
      </c>
      <c r="P86" s="77">
        <f t="shared" si="7"/>
        <v>2731.96</v>
      </c>
      <c r="Q86" s="78">
        <f t="shared" si="14"/>
        <v>5.878720542833747E-4</v>
      </c>
      <c r="R86" s="65"/>
      <c r="S86" s="65"/>
    </row>
    <row r="87" spans="1:19" ht="17.100000000000001" customHeight="1" x14ac:dyDescent="0.2">
      <c r="A87" s="88" t="s">
        <v>184</v>
      </c>
      <c r="B87" s="72" t="s">
        <v>75</v>
      </c>
      <c r="C87" s="77">
        <v>19000</v>
      </c>
      <c r="D87" s="77">
        <v>3250</v>
      </c>
      <c r="E87" s="77"/>
      <c r="F87" s="77">
        <v>8640</v>
      </c>
      <c r="G87" s="77"/>
      <c r="H87" s="77">
        <v>10500</v>
      </c>
      <c r="I87" s="77"/>
      <c r="J87" s="77"/>
      <c r="K87" s="77"/>
      <c r="L87" s="77"/>
      <c r="M87" s="77"/>
      <c r="N87" s="77">
        <f>C87+D87-E87+F87-G87+H87-I87+J87-K87-M87</f>
        <v>41390</v>
      </c>
      <c r="O87" s="136">
        <v>26282.94</v>
      </c>
      <c r="P87" s="77">
        <f t="shared" si="7"/>
        <v>15107.060000000001</v>
      </c>
      <c r="Q87" s="78">
        <f t="shared" si="14"/>
        <v>5.9017455540811749E-3</v>
      </c>
      <c r="R87" s="65"/>
      <c r="S87" s="65"/>
    </row>
    <row r="88" spans="1:19" ht="17.100000000000001" customHeight="1" x14ac:dyDescent="0.2">
      <c r="A88" s="88" t="s">
        <v>185</v>
      </c>
      <c r="B88" s="72" t="s">
        <v>186</v>
      </c>
      <c r="C88" s="77">
        <v>4793.1600000000008</v>
      </c>
      <c r="D88" s="77">
        <v>17750</v>
      </c>
      <c r="E88" s="77"/>
      <c r="F88" s="77">
        <v>985</v>
      </c>
      <c r="G88" s="77"/>
      <c r="H88" s="77"/>
      <c r="I88" s="77"/>
      <c r="J88" s="77"/>
      <c r="K88" s="77"/>
      <c r="L88" s="77"/>
      <c r="M88" s="77">
        <v>10000</v>
      </c>
      <c r="N88" s="77">
        <f>C88+D88-E88+F88-G88+H88-I88+J88-K88-M88</f>
        <v>13528.16</v>
      </c>
      <c r="O88" s="136">
        <v>3389.1600000000003</v>
      </c>
      <c r="P88" s="77">
        <f t="shared" si="7"/>
        <v>10139</v>
      </c>
      <c r="Q88" s="78">
        <f t="shared" si="14"/>
        <v>7.610244501592957E-4</v>
      </c>
      <c r="R88" s="65"/>
      <c r="S88" s="65"/>
    </row>
    <row r="89" spans="1:19" ht="17.100000000000001" customHeight="1" x14ac:dyDescent="0.2">
      <c r="A89" s="88" t="s">
        <v>187</v>
      </c>
      <c r="B89" s="72" t="s">
        <v>275</v>
      </c>
      <c r="C89" s="77">
        <v>1250</v>
      </c>
      <c r="D89" s="77"/>
      <c r="E89" s="77"/>
      <c r="F89" s="77">
        <v>650</v>
      </c>
      <c r="G89" s="77"/>
      <c r="H89" s="77"/>
      <c r="I89" s="77"/>
      <c r="J89" s="77"/>
      <c r="K89" s="77"/>
      <c r="L89" s="77"/>
      <c r="M89" s="77"/>
      <c r="N89" s="77">
        <f t="shared" si="13"/>
        <v>1900</v>
      </c>
      <c r="O89" s="136">
        <v>1511</v>
      </c>
      <c r="P89" s="77">
        <f t="shared" ref="P89:P121" si="15">N89-O89</f>
        <v>389</v>
      </c>
      <c r="Q89" s="78">
        <f t="shared" si="14"/>
        <v>3.392899550893719E-4</v>
      </c>
      <c r="R89" s="65"/>
      <c r="S89" s="65"/>
    </row>
    <row r="90" spans="1:19" ht="17.100000000000001" customHeight="1" x14ac:dyDescent="0.2">
      <c r="A90" s="88" t="s">
        <v>189</v>
      </c>
      <c r="B90" s="72" t="s">
        <v>76</v>
      </c>
      <c r="C90" s="77">
        <v>165089.08000000002</v>
      </c>
      <c r="D90" s="77"/>
      <c r="E90" s="77">
        <v>2000</v>
      </c>
      <c r="F90" s="77"/>
      <c r="G90" s="77">
        <v>77463</v>
      </c>
      <c r="H90" s="77"/>
      <c r="I90" s="77"/>
      <c r="J90" s="77"/>
      <c r="K90" s="77"/>
      <c r="L90" s="77"/>
      <c r="M90" s="77"/>
      <c r="N90" s="77">
        <f t="shared" si="13"/>
        <v>85626.080000000016</v>
      </c>
      <c r="O90" s="136">
        <v>83271.08</v>
      </c>
      <c r="P90" s="77">
        <f t="shared" si="15"/>
        <v>2355.0000000000146</v>
      </c>
      <c r="Q90" s="78">
        <f t="shared" si="14"/>
        <v>1.8698240233913629E-2</v>
      </c>
      <c r="R90" s="65"/>
      <c r="S90" s="65"/>
    </row>
    <row r="91" spans="1:19" ht="17.100000000000001" customHeight="1" x14ac:dyDescent="0.2">
      <c r="A91" s="88" t="s">
        <v>190</v>
      </c>
      <c r="B91" s="72" t="s">
        <v>77</v>
      </c>
      <c r="C91" s="77">
        <v>0</v>
      </c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>
        <f t="shared" si="13"/>
        <v>0</v>
      </c>
      <c r="O91" s="136">
        <v>0</v>
      </c>
      <c r="P91" s="77">
        <f t="shared" si="15"/>
        <v>0</v>
      </c>
      <c r="Q91" s="78">
        <f t="shared" si="14"/>
        <v>0</v>
      </c>
      <c r="R91" s="65"/>
      <c r="S91" s="65"/>
    </row>
    <row r="92" spans="1:19" ht="17.100000000000001" customHeight="1" x14ac:dyDescent="0.2">
      <c r="A92" s="88" t="s">
        <v>256</v>
      </c>
      <c r="B92" s="72" t="s">
        <v>257</v>
      </c>
      <c r="C92" s="77">
        <v>0</v>
      </c>
      <c r="D92" s="77">
        <v>1200</v>
      </c>
      <c r="E92" s="77"/>
      <c r="F92" s="77"/>
      <c r="G92" s="77"/>
      <c r="H92" s="77"/>
      <c r="I92" s="77"/>
      <c r="J92" s="77"/>
      <c r="K92" s="77"/>
      <c r="L92" s="77"/>
      <c r="M92" s="77"/>
      <c r="N92" s="77">
        <f t="shared" si="13"/>
        <v>1200</v>
      </c>
      <c r="O92" s="136">
        <v>75</v>
      </c>
      <c r="P92" s="77">
        <f t="shared" si="15"/>
        <v>1125</v>
      </c>
      <c r="Q92" s="78">
        <f t="shared" si="14"/>
        <v>1.6840997109002575E-5</v>
      </c>
      <c r="R92" s="65"/>
      <c r="S92" s="65"/>
    </row>
    <row r="93" spans="1:19" ht="17.100000000000001" customHeight="1" x14ac:dyDescent="0.2">
      <c r="A93" s="88" t="s">
        <v>258</v>
      </c>
      <c r="B93" s="72" t="s">
        <v>259</v>
      </c>
      <c r="C93" s="77">
        <v>0</v>
      </c>
      <c r="D93" s="77">
        <v>750</v>
      </c>
      <c r="E93" s="77"/>
      <c r="F93" s="77"/>
      <c r="G93" s="77"/>
      <c r="H93" s="77"/>
      <c r="I93" s="77"/>
      <c r="J93" s="77"/>
      <c r="K93" s="77"/>
      <c r="L93" s="77"/>
      <c r="M93" s="77"/>
      <c r="N93" s="77">
        <f t="shared" si="13"/>
        <v>750</v>
      </c>
      <c r="O93" s="136">
        <v>0</v>
      </c>
      <c r="P93" s="77">
        <f t="shared" si="15"/>
        <v>750</v>
      </c>
      <c r="Q93" s="78">
        <f t="shared" si="14"/>
        <v>0</v>
      </c>
      <c r="R93" s="65"/>
      <c r="S93" s="65"/>
    </row>
    <row r="94" spans="1:19" ht="17.100000000000001" customHeight="1" x14ac:dyDescent="0.2">
      <c r="A94" s="88" t="s">
        <v>191</v>
      </c>
      <c r="B94" s="72" t="s">
        <v>78</v>
      </c>
      <c r="C94" s="77">
        <v>1000</v>
      </c>
      <c r="D94" s="77"/>
      <c r="E94" s="77"/>
      <c r="F94" s="77"/>
      <c r="G94" s="77"/>
      <c r="H94" s="77">
        <v>1500</v>
      </c>
      <c r="I94" s="77"/>
      <c r="J94" s="77"/>
      <c r="K94" s="77"/>
      <c r="L94" s="77"/>
      <c r="M94" s="77"/>
      <c r="N94" s="77">
        <f>C94+D94-E94+F94-G94+H94-I94+J94-K94-M94</f>
        <v>2500</v>
      </c>
      <c r="O94" s="136">
        <v>1528</v>
      </c>
      <c r="P94" s="77">
        <f t="shared" si="15"/>
        <v>972</v>
      </c>
      <c r="Q94" s="78">
        <f t="shared" si="14"/>
        <v>3.4310724776741248E-4</v>
      </c>
      <c r="R94" s="65"/>
      <c r="S94" s="65"/>
    </row>
    <row r="95" spans="1:19" ht="17.100000000000001" customHeight="1" x14ac:dyDescent="0.2">
      <c r="A95" s="88" t="s">
        <v>192</v>
      </c>
      <c r="B95" s="72" t="s">
        <v>79</v>
      </c>
      <c r="C95" s="77">
        <v>7500</v>
      </c>
      <c r="D95" s="77"/>
      <c r="E95" s="77"/>
      <c r="F95" s="77">
        <v>2500</v>
      </c>
      <c r="G95" s="77"/>
      <c r="H95" s="77"/>
      <c r="I95" s="77"/>
      <c r="J95" s="77"/>
      <c r="K95" s="77"/>
      <c r="L95" s="77"/>
      <c r="M95" s="77">
        <v>10000</v>
      </c>
      <c r="N95" s="77">
        <f>C95+D95-E95+F95-G95+H95-I95+J95-K95-M95</f>
        <v>0</v>
      </c>
      <c r="O95" s="136">
        <v>0</v>
      </c>
      <c r="P95" s="77">
        <f t="shared" si="15"/>
        <v>0</v>
      </c>
      <c r="Q95" s="78">
        <f t="shared" si="14"/>
        <v>0</v>
      </c>
      <c r="R95" s="97"/>
      <c r="S95" s="65"/>
    </row>
    <row r="96" spans="1:19" ht="17.100000000000001" customHeight="1" x14ac:dyDescent="0.2">
      <c r="A96" s="88" t="s">
        <v>193</v>
      </c>
      <c r="B96" s="72" t="s">
        <v>194</v>
      </c>
      <c r="C96" s="77">
        <v>1125749.23</v>
      </c>
      <c r="D96" s="77"/>
      <c r="E96" s="77">
        <v>8775</v>
      </c>
      <c r="F96" s="77"/>
      <c r="G96" s="77"/>
      <c r="H96" s="77"/>
      <c r="I96" s="77">
        <v>25000</v>
      </c>
      <c r="J96" s="77"/>
      <c r="K96" s="77">
        <v>178000</v>
      </c>
      <c r="L96" s="77"/>
      <c r="M96" s="77">
        <v>68000</v>
      </c>
      <c r="N96" s="77">
        <f>C96+D96-E96+F96-G96+H96-I96+J96-K96-M96</f>
        <v>845974.23</v>
      </c>
      <c r="O96" s="136">
        <v>774785.81</v>
      </c>
      <c r="P96" s="77">
        <f t="shared" si="15"/>
        <v>71188.419999999925</v>
      </c>
      <c r="Q96" s="78">
        <f t="shared" si="14"/>
        <v>0.17397554115074959</v>
      </c>
      <c r="R96" s="147"/>
      <c r="S96" s="97"/>
    </row>
    <row r="97" spans="1:19" ht="17.100000000000001" customHeight="1" x14ac:dyDescent="0.2">
      <c r="A97" s="88" t="s">
        <v>260</v>
      </c>
      <c r="B97" s="72" t="s">
        <v>261</v>
      </c>
      <c r="C97" s="77">
        <v>0</v>
      </c>
      <c r="D97" s="77">
        <v>1750</v>
      </c>
      <c r="E97" s="77"/>
      <c r="F97" s="77"/>
      <c r="G97" s="77"/>
      <c r="H97" s="77">
        <v>2000</v>
      </c>
      <c r="I97" s="77"/>
      <c r="J97" s="77"/>
      <c r="K97" s="77"/>
      <c r="L97" s="77"/>
      <c r="M97" s="77"/>
      <c r="N97" s="77">
        <f t="shared" si="13"/>
        <v>3750</v>
      </c>
      <c r="O97" s="136">
        <v>878.48</v>
      </c>
      <c r="P97" s="77">
        <f t="shared" si="15"/>
        <v>2871.52</v>
      </c>
      <c r="Q97" s="78">
        <f t="shared" si="14"/>
        <v>1.9725972187088778E-4</v>
      </c>
      <c r="R97" s="65"/>
      <c r="S97" s="65"/>
    </row>
    <row r="98" spans="1:19" ht="17.100000000000001" customHeight="1" x14ac:dyDescent="0.2">
      <c r="A98" s="88" t="s">
        <v>195</v>
      </c>
      <c r="B98" s="72" t="s">
        <v>80</v>
      </c>
      <c r="C98" s="77">
        <v>9940</v>
      </c>
      <c r="D98" s="77"/>
      <c r="E98" s="77">
        <v>625</v>
      </c>
      <c r="F98" s="77"/>
      <c r="G98" s="77"/>
      <c r="H98" s="77"/>
      <c r="I98" s="77"/>
      <c r="J98" s="77"/>
      <c r="K98" s="77"/>
      <c r="L98" s="77"/>
      <c r="M98" s="77"/>
      <c r="N98" s="77">
        <f>C98+D98-E98+F98-G98+H98-I98+J98-K98+L98</f>
        <v>9315</v>
      </c>
      <c r="O98" s="136">
        <v>4573.71</v>
      </c>
      <c r="P98" s="77">
        <f t="shared" si="15"/>
        <v>4741.29</v>
      </c>
      <c r="Q98" s="78">
        <f t="shared" si="14"/>
        <v>1.0270111584988824E-3</v>
      </c>
      <c r="R98" s="65"/>
      <c r="S98" s="65"/>
    </row>
    <row r="99" spans="1:19" ht="17.100000000000001" customHeight="1" x14ac:dyDescent="0.2">
      <c r="A99" s="88" t="s">
        <v>196</v>
      </c>
      <c r="B99" s="72" t="s">
        <v>197</v>
      </c>
      <c r="C99" s="77">
        <v>2250</v>
      </c>
      <c r="D99" s="77"/>
      <c r="E99" s="77">
        <v>450</v>
      </c>
      <c r="F99" s="77"/>
      <c r="G99" s="77"/>
      <c r="H99" s="77"/>
      <c r="I99" s="77"/>
      <c r="J99" s="77"/>
      <c r="K99" s="77"/>
      <c r="L99" s="77">
        <v>1000</v>
      </c>
      <c r="M99" s="77"/>
      <c r="N99" s="77">
        <f>C99+D99-E99+F99-G99+H99-I99+J99-K99+L99</f>
        <v>2800</v>
      </c>
      <c r="O99" s="136">
        <v>1282.8300000000002</v>
      </c>
      <c r="P99" s="77">
        <f t="shared" si="15"/>
        <v>1517.1699999999998</v>
      </c>
      <c r="Q99" s="78">
        <f t="shared" si="14"/>
        <v>2.8805515095122369E-4</v>
      </c>
      <c r="R99" s="65"/>
      <c r="S99" s="65"/>
    </row>
    <row r="100" spans="1:19" ht="17.100000000000001" customHeight="1" x14ac:dyDescent="0.2">
      <c r="A100" s="88" t="s">
        <v>198</v>
      </c>
      <c r="B100" s="72" t="s">
        <v>81</v>
      </c>
      <c r="C100" s="77">
        <v>122483.72</v>
      </c>
      <c r="D100" s="77"/>
      <c r="E100" s="77">
        <v>31960</v>
      </c>
      <c r="F100" s="77">
        <v>3600</v>
      </c>
      <c r="G100" s="77"/>
      <c r="H100" s="77"/>
      <c r="I100" s="77"/>
      <c r="J100" s="77">
        <v>7000</v>
      </c>
      <c r="K100" s="77"/>
      <c r="L100" s="77"/>
      <c r="M100" s="77"/>
      <c r="N100" s="77">
        <f t="shared" si="13"/>
        <v>101123.72</v>
      </c>
      <c r="O100" s="136">
        <v>52180.55</v>
      </c>
      <c r="P100" s="77">
        <f t="shared" si="15"/>
        <v>48943.17</v>
      </c>
      <c r="Q100" s="78">
        <f t="shared" si="14"/>
        <v>1.1716966555948859E-2</v>
      </c>
      <c r="R100" s="65"/>
      <c r="S100" s="65"/>
    </row>
    <row r="101" spans="1:19" ht="17.100000000000001" customHeight="1" x14ac:dyDescent="0.2">
      <c r="A101" s="88" t="s">
        <v>199</v>
      </c>
      <c r="B101" s="72" t="s">
        <v>200</v>
      </c>
      <c r="C101" s="77">
        <v>650</v>
      </c>
      <c r="D101" s="77"/>
      <c r="E101" s="77">
        <v>150</v>
      </c>
      <c r="F101" s="77"/>
      <c r="G101" s="77"/>
      <c r="H101" s="77"/>
      <c r="I101" s="77"/>
      <c r="J101" s="77"/>
      <c r="K101" s="77"/>
      <c r="L101" s="77"/>
      <c r="M101" s="77"/>
      <c r="N101" s="77">
        <f t="shared" si="13"/>
        <v>500</v>
      </c>
      <c r="O101" s="136">
        <v>0</v>
      </c>
      <c r="P101" s="77">
        <f t="shared" si="15"/>
        <v>500</v>
      </c>
      <c r="Q101" s="78">
        <f t="shared" si="14"/>
        <v>0</v>
      </c>
      <c r="R101" s="65"/>
      <c r="S101" s="65"/>
    </row>
    <row r="102" spans="1:19" ht="17.100000000000001" customHeight="1" x14ac:dyDescent="0.2">
      <c r="A102" s="88" t="s">
        <v>201</v>
      </c>
      <c r="B102" s="72" t="s">
        <v>202</v>
      </c>
      <c r="C102" s="77">
        <v>6900</v>
      </c>
      <c r="D102" s="77"/>
      <c r="E102" s="77">
        <v>300</v>
      </c>
      <c r="F102" s="77">
        <v>5250</v>
      </c>
      <c r="G102" s="77"/>
      <c r="H102" s="77"/>
      <c r="I102" s="77"/>
      <c r="J102" s="77"/>
      <c r="K102" s="77"/>
      <c r="L102" s="77"/>
      <c r="M102" s="77"/>
      <c r="N102" s="77">
        <f t="shared" si="13"/>
        <v>11850</v>
      </c>
      <c r="O102" s="136">
        <v>1362.9499999999998</v>
      </c>
      <c r="P102" s="77">
        <f t="shared" si="15"/>
        <v>10487.05</v>
      </c>
      <c r="Q102" s="78">
        <f t="shared" si="14"/>
        <v>3.0604582679620075E-4</v>
      </c>
      <c r="R102" s="65"/>
      <c r="S102" s="65"/>
    </row>
    <row r="103" spans="1:19" ht="17.100000000000001" customHeight="1" x14ac:dyDescent="0.2">
      <c r="A103" s="88" t="s">
        <v>203</v>
      </c>
      <c r="B103" s="72" t="s">
        <v>82</v>
      </c>
      <c r="C103" s="77">
        <v>85470</v>
      </c>
      <c r="D103" s="77"/>
      <c r="E103" s="77">
        <v>5669</v>
      </c>
      <c r="F103" s="77">
        <v>15690</v>
      </c>
      <c r="G103" s="77"/>
      <c r="H103" s="77"/>
      <c r="I103" s="77"/>
      <c r="J103" s="77"/>
      <c r="K103" s="77"/>
      <c r="L103" s="77"/>
      <c r="M103" s="77"/>
      <c r="N103" s="77">
        <f t="shared" si="13"/>
        <v>95491</v>
      </c>
      <c r="O103" s="136">
        <v>56166.030000000006</v>
      </c>
      <c r="P103" s="77">
        <f t="shared" si="15"/>
        <v>39324.969999999994</v>
      </c>
      <c r="Q103" s="78">
        <f t="shared" si="14"/>
        <v>1.2611892651388694E-2</v>
      </c>
      <c r="R103" s="65"/>
      <c r="S103" s="65"/>
    </row>
    <row r="104" spans="1:19" ht="17.100000000000001" customHeight="1" x14ac:dyDescent="0.2">
      <c r="A104" s="88" t="s">
        <v>204</v>
      </c>
      <c r="B104" s="72" t="s">
        <v>83</v>
      </c>
      <c r="C104" s="77">
        <v>15600</v>
      </c>
      <c r="D104" s="77"/>
      <c r="E104" s="77">
        <v>3600</v>
      </c>
      <c r="F104" s="77"/>
      <c r="G104" s="77"/>
      <c r="H104" s="77"/>
      <c r="I104" s="77"/>
      <c r="J104" s="77"/>
      <c r="K104" s="77"/>
      <c r="L104" s="77"/>
      <c r="M104" s="77"/>
      <c r="N104" s="77">
        <f t="shared" si="13"/>
        <v>12000</v>
      </c>
      <c r="O104" s="136">
        <v>3167.16</v>
      </c>
      <c r="P104" s="77">
        <f t="shared" si="15"/>
        <v>8832.84</v>
      </c>
      <c r="Q104" s="78">
        <f t="shared" si="14"/>
        <v>7.111750987166479E-4</v>
      </c>
      <c r="R104" s="65"/>
      <c r="S104" s="65"/>
    </row>
    <row r="105" spans="1:19" ht="17.100000000000001" customHeight="1" x14ac:dyDescent="0.2">
      <c r="A105" s="88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136"/>
      <c r="P105" s="77"/>
      <c r="Q105" s="78"/>
      <c r="R105" s="65"/>
      <c r="S105" s="65"/>
    </row>
    <row r="106" spans="1:19" ht="17.100000000000001" customHeight="1" x14ac:dyDescent="0.25">
      <c r="A106" s="86">
        <v>3</v>
      </c>
      <c r="B106" s="87" t="s">
        <v>84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136"/>
      <c r="P106" s="77"/>
      <c r="Q106" s="78"/>
      <c r="R106" s="65"/>
      <c r="S106" s="65"/>
    </row>
    <row r="107" spans="1:19" ht="17.100000000000001" customHeight="1" x14ac:dyDescent="0.2">
      <c r="A107" s="88" t="s">
        <v>205</v>
      </c>
      <c r="B107" s="72" t="s">
        <v>85</v>
      </c>
      <c r="C107" s="77">
        <v>162200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>
        <f t="shared" ref="N107:N114" si="16">C107+D107-E107+F107-G107+H107-I107+J107-K107</f>
        <v>162200</v>
      </c>
      <c r="O107" s="136">
        <v>1750</v>
      </c>
      <c r="P107" s="77">
        <f t="shared" si="15"/>
        <v>160450</v>
      </c>
      <c r="Q107" s="78">
        <f t="shared" ref="Q107:Q112" si="17">O107/$O$123</f>
        <v>3.9295659921006012E-4</v>
      </c>
      <c r="R107" s="65"/>
      <c r="S107" s="65"/>
    </row>
    <row r="108" spans="1:19" ht="17.100000000000001" customHeight="1" x14ac:dyDescent="0.2">
      <c r="A108" s="88" t="s">
        <v>206</v>
      </c>
      <c r="B108" s="72" t="s">
        <v>207</v>
      </c>
      <c r="C108" s="77">
        <v>0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>
        <f t="shared" si="16"/>
        <v>0</v>
      </c>
      <c r="O108" s="136">
        <v>0</v>
      </c>
      <c r="P108" s="77">
        <f t="shared" si="15"/>
        <v>0</v>
      </c>
      <c r="Q108" s="78">
        <f t="shared" si="17"/>
        <v>0</v>
      </c>
      <c r="R108" s="65"/>
      <c r="S108" s="65"/>
    </row>
    <row r="109" spans="1:19" ht="17.100000000000001" customHeight="1" x14ac:dyDescent="0.2">
      <c r="A109" s="88" t="s">
        <v>208</v>
      </c>
      <c r="B109" s="72" t="s">
        <v>209</v>
      </c>
      <c r="C109" s="77">
        <v>1856690.49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>
        <f t="shared" si="16"/>
        <v>1856690.49</v>
      </c>
      <c r="O109" s="136">
        <v>106297.24</v>
      </c>
      <c r="P109" s="77">
        <f t="shared" si="15"/>
        <v>1750393.25</v>
      </c>
      <c r="Q109" s="78">
        <f t="shared" si="17"/>
        <v>2.3868686820466042E-2</v>
      </c>
      <c r="R109" s="65"/>
      <c r="S109" s="65"/>
    </row>
    <row r="110" spans="1:19" ht="17.100000000000001" customHeight="1" x14ac:dyDescent="0.2">
      <c r="A110" s="88" t="s">
        <v>210</v>
      </c>
      <c r="B110" s="72" t="s">
        <v>211</v>
      </c>
      <c r="C110" s="77">
        <v>200000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>
        <f t="shared" si="16"/>
        <v>200000</v>
      </c>
      <c r="O110" s="136">
        <v>0</v>
      </c>
      <c r="P110" s="77">
        <f t="shared" si="15"/>
        <v>200000</v>
      </c>
      <c r="Q110" s="78">
        <f t="shared" si="17"/>
        <v>0</v>
      </c>
      <c r="R110" s="65"/>
      <c r="S110" s="65"/>
    </row>
    <row r="111" spans="1:19" ht="17.100000000000001" customHeight="1" x14ac:dyDescent="0.2">
      <c r="A111" s="88" t="s">
        <v>212</v>
      </c>
      <c r="B111" s="72" t="s">
        <v>213</v>
      </c>
      <c r="C111" s="77">
        <v>500</v>
      </c>
      <c r="D111" s="77"/>
      <c r="E111" s="77"/>
      <c r="F111" s="77">
        <v>1200</v>
      </c>
      <c r="G111" s="77"/>
      <c r="H111" s="77"/>
      <c r="I111" s="77"/>
      <c r="J111" s="77"/>
      <c r="K111" s="77"/>
      <c r="L111" s="77"/>
      <c r="M111" s="77"/>
      <c r="N111" s="77">
        <f t="shared" si="16"/>
        <v>1700</v>
      </c>
      <c r="O111" s="136">
        <v>1199.92</v>
      </c>
      <c r="P111" s="77">
        <f t="shared" si="15"/>
        <v>500.07999999999993</v>
      </c>
      <c r="Q111" s="78">
        <f t="shared" si="17"/>
        <v>2.6943799001379162E-4</v>
      </c>
      <c r="R111" s="65"/>
      <c r="S111" s="65"/>
    </row>
    <row r="112" spans="1:19" ht="17.100000000000001" customHeight="1" x14ac:dyDescent="0.2">
      <c r="A112" s="88" t="s">
        <v>214</v>
      </c>
      <c r="B112" s="72" t="s">
        <v>215</v>
      </c>
      <c r="C112" s="77">
        <v>17500</v>
      </c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>
        <f t="shared" si="16"/>
        <v>17500</v>
      </c>
      <c r="O112" s="136">
        <v>5640</v>
      </c>
      <c r="P112" s="77">
        <f t="shared" si="15"/>
        <v>11860</v>
      </c>
      <c r="Q112" s="78">
        <f t="shared" si="17"/>
        <v>1.2664429825969938E-3</v>
      </c>
      <c r="R112" s="65"/>
      <c r="S112" s="65"/>
    </row>
    <row r="113" spans="1:19" ht="17.100000000000001" customHeight="1" x14ac:dyDescent="0.2">
      <c r="A113" s="88" t="s">
        <v>216</v>
      </c>
      <c r="B113" s="72" t="s">
        <v>217</v>
      </c>
      <c r="C113" s="77">
        <v>20500</v>
      </c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>
        <f t="shared" si="16"/>
        <v>20500</v>
      </c>
      <c r="O113" s="136">
        <v>0</v>
      </c>
      <c r="P113" s="77">
        <f t="shared" si="15"/>
        <v>20500</v>
      </c>
      <c r="Q113" s="78"/>
      <c r="R113" s="65"/>
      <c r="S113" s="65"/>
    </row>
    <row r="114" spans="1:19" ht="17.100000000000001" customHeight="1" x14ac:dyDescent="0.2">
      <c r="A114" s="88" t="s">
        <v>218</v>
      </c>
      <c r="B114" s="72" t="s">
        <v>219</v>
      </c>
      <c r="C114" s="77">
        <v>2784974.71</v>
      </c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>
        <f t="shared" si="16"/>
        <v>2784974.71</v>
      </c>
      <c r="O114" s="136">
        <v>0</v>
      </c>
      <c r="P114" s="77">
        <f t="shared" si="15"/>
        <v>2784974.71</v>
      </c>
      <c r="Q114" s="78"/>
      <c r="R114" s="65"/>
      <c r="S114" s="65"/>
    </row>
    <row r="115" spans="1:19" ht="17.100000000000001" customHeight="1" x14ac:dyDescent="0.2">
      <c r="A115" s="88"/>
      <c r="B115" s="72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136"/>
      <c r="P115" s="77"/>
      <c r="Q115" s="78"/>
      <c r="R115" s="65"/>
      <c r="S115" s="65"/>
    </row>
    <row r="116" spans="1:19" ht="17.100000000000001" customHeight="1" x14ac:dyDescent="0.25">
      <c r="A116" s="86">
        <v>4</v>
      </c>
      <c r="B116" s="87" t="s">
        <v>86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136"/>
      <c r="P116" s="77"/>
      <c r="Q116" s="78"/>
      <c r="R116" s="65"/>
      <c r="S116" s="65"/>
    </row>
    <row r="117" spans="1:19" ht="17.100000000000001" customHeight="1" x14ac:dyDescent="0.2">
      <c r="A117" s="88" t="s">
        <v>220</v>
      </c>
      <c r="B117" s="72" t="s">
        <v>221</v>
      </c>
      <c r="C117" s="77">
        <v>20750</v>
      </c>
      <c r="D117" s="77"/>
      <c r="E117" s="77"/>
      <c r="F117" s="77"/>
      <c r="G117" s="77"/>
      <c r="H117" s="77"/>
      <c r="I117" s="77"/>
      <c r="J117" s="77">
        <v>20000</v>
      </c>
      <c r="K117" s="77"/>
      <c r="L117" s="77"/>
      <c r="M117" s="77"/>
      <c r="N117" s="77">
        <f>C117+D117-E117+F117-G117+H117-I117+J117-K117</f>
        <v>40750</v>
      </c>
      <c r="O117" s="136">
        <v>15892.8</v>
      </c>
      <c r="P117" s="77">
        <f t="shared" si="15"/>
        <v>24857.200000000001</v>
      </c>
      <c r="Q117" s="78">
        <f>O117/$O$123</f>
        <v>3.5686746513860818E-3</v>
      </c>
      <c r="R117" s="65"/>
      <c r="S117" s="65"/>
    </row>
    <row r="118" spans="1:19" ht="17.100000000000001" customHeight="1" x14ac:dyDescent="0.2">
      <c r="A118" s="88" t="s">
        <v>222</v>
      </c>
      <c r="B118" s="72" t="s">
        <v>223</v>
      </c>
      <c r="C118" s="77">
        <v>7600</v>
      </c>
      <c r="D118" s="77"/>
      <c r="E118" s="77"/>
      <c r="F118" s="77"/>
      <c r="G118" s="77"/>
      <c r="H118" s="77"/>
      <c r="I118" s="77"/>
      <c r="J118" s="77">
        <v>7500</v>
      </c>
      <c r="K118" s="77"/>
      <c r="L118" s="77"/>
      <c r="M118" s="77"/>
      <c r="N118" s="77">
        <f>C118+D118-E118+F118-G118+H118-I118+J118-K118+L118</f>
        <v>15100</v>
      </c>
      <c r="O118" s="136">
        <v>1324.4</v>
      </c>
      <c r="P118" s="77">
        <f t="shared" si="15"/>
        <v>13775.6</v>
      </c>
      <c r="Q118" s="78">
        <f>O118/$O$123</f>
        <v>2.973895542821735E-4</v>
      </c>
      <c r="R118" s="65"/>
      <c r="S118" s="65"/>
    </row>
    <row r="119" spans="1:19" ht="17.100000000000001" customHeight="1" x14ac:dyDescent="0.2">
      <c r="A119" s="88" t="s">
        <v>224</v>
      </c>
      <c r="B119" s="72" t="s">
        <v>240</v>
      </c>
      <c r="C119" s="77">
        <v>9600</v>
      </c>
      <c r="D119" s="77"/>
      <c r="E119" s="77"/>
      <c r="F119" s="77">
        <v>46500</v>
      </c>
      <c r="G119" s="77"/>
      <c r="H119" s="77"/>
      <c r="I119" s="77"/>
      <c r="J119" s="77"/>
      <c r="K119" s="77"/>
      <c r="L119" s="77">
        <v>4000</v>
      </c>
      <c r="M119" s="77"/>
      <c r="N119" s="77">
        <f>C119+D119-E119+F119-G119+H119-I119+J119-K119+L119</f>
        <v>60100</v>
      </c>
      <c r="O119" s="136">
        <v>57050</v>
      </c>
      <c r="P119" s="77">
        <f t="shared" si="15"/>
        <v>3050</v>
      </c>
      <c r="Q119" s="78">
        <f>O119/$O$123</f>
        <v>1.2810385134247959E-2</v>
      </c>
      <c r="R119" s="65"/>
      <c r="S119" s="65"/>
    </row>
    <row r="120" spans="1:19" ht="17.100000000000001" customHeight="1" x14ac:dyDescent="0.2">
      <c r="A120" s="88" t="s">
        <v>226</v>
      </c>
      <c r="B120" s="72" t="s">
        <v>227</v>
      </c>
      <c r="C120" s="77">
        <v>0</v>
      </c>
      <c r="D120" s="77">
        <v>20000</v>
      </c>
      <c r="E120" s="77"/>
      <c r="F120" s="77"/>
      <c r="G120" s="77">
        <v>20000</v>
      </c>
      <c r="H120" s="77"/>
      <c r="I120" s="77"/>
      <c r="J120" s="77"/>
      <c r="K120" s="77"/>
      <c r="L120" s="77"/>
      <c r="M120" s="77"/>
      <c r="N120" s="77">
        <f>C120+D120-E120+F120-G120+H120-I120+J120-K120</f>
        <v>0</v>
      </c>
      <c r="O120" s="136">
        <v>31.5</v>
      </c>
      <c r="P120" s="77">
        <v>31.5</v>
      </c>
      <c r="Q120" s="78">
        <f>O120/$O$123</f>
        <v>7.0732187857810823E-6</v>
      </c>
      <c r="R120" s="65"/>
      <c r="S120" s="65"/>
    </row>
    <row r="121" spans="1:19" s="65" customFormat="1" ht="17.100000000000001" customHeight="1" x14ac:dyDescent="0.2">
      <c r="A121" s="88" t="s">
        <v>228</v>
      </c>
      <c r="B121" s="72" t="s">
        <v>87</v>
      </c>
      <c r="C121" s="89">
        <v>11050</v>
      </c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77">
        <f>C121+D121-E121+F121-G121+H121-I121+J121-K121</f>
        <v>11050</v>
      </c>
      <c r="O121" s="140">
        <v>6370.87</v>
      </c>
      <c r="P121" s="89">
        <f t="shared" si="15"/>
        <v>4679.13</v>
      </c>
      <c r="Q121" s="78">
        <f>O121/$O$123</f>
        <v>1.4305573766910831E-3</v>
      </c>
    </row>
    <row r="122" spans="1:19" s="65" customFormat="1" ht="17.100000000000001" customHeight="1" thickBot="1" x14ac:dyDescent="0.25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153"/>
      <c r="M122" s="153"/>
      <c r="N122" s="92"/>
      <c r="O122" s="141"/>
      <c r="P122" s="92"/>
      <c r="Q122" s="93"/>
    </row>
    <row r="123" spans="1:19" s="65" customFormat="1" ht="17.100000000000001" customHeight="1" thickBot="1" x14ac:dyDescent="0.3">
      <c r="A123" s="80"/>
      <c r="B123" s="80" t="s">
        <v>88</v>
      </c>
      <c r="C123" s="81">
        <f>SUM(C25:C122)</f>
        <v>10804273.189999999</v>
      </c>
      <c r="D123" s="81">
        <f t="shared" ref="D123:K123" si="18">SUM(D25:D122)</f>
        <v>191539.09</v>
      </c>
      <c r="E123" s="81">
        <f t="shared" si="18"/>
        <v>94829</v>
      </c>
      <c r="F123" s="81">
        <f t="shared" si="18"/>
        <v>361650</v>
      </c>
      <c r="G123" s="81">
        <f t="shared" si="18"/>
        <v>106963</v>
      </c>
      <c r="H123" s="81">
        <f t="shared" si="18"/>
        <v>265000</v>
      </c>
      <c r="I123" s="81">
        <f t="shared" si="18"/>
        <v>25000</v>
      </c>
      <c r="J123" s="81">
        <f t="shared" si="18"/>
        <v>178000</v>
      </c>
      <c r="K123" s="81">
        <f t="shared" si="18"/>
        <v>178000</v>
      </c>
      <c r="L123" s="81">
        <f t="shared" ref="L123:M123" si="19">SUM(L25:L121)</f>
        <v>218000</v>
      </c>
      <c r="M123" s="81">
        <f t="shared" si="19"/>
        <v>218000</v>
      </c>
      <c r="N123" s="81">
        <f>SUM(N25:N122)</f>
        <v>11395670.280000001</v>
      </c>
      <c r="O123" s="137">
        <f>SUM(O25:O122)</f>
        <v>4453418.0200000014</v>
      </c>
      <c r="P123" s="81">
        <f>SUM(P25:P122)</f>
        <v>6942315.2599999998</v>
      </c>
      <c r="Q123" s="94">
        <v>1</v>
      </c>
    </row>
    <row r="124" spans="1:19" s="65" customFormat="1" ht="15" x14ac:dyDescent="0.2">
      <c r="C124" s="95"/>
      <c r="D124" s="96"/>
      <c r="E124" s="97"/>
      <c r="F124" s="97"/>
      <c r="G124" s="97"/>
      <c r="H124" s="97"/>
      <c r="I124" s="97"/>
      <c r="J124" s="97"/>
      <c r="K124" s="97"/>
      <c r="L124" s="97"/>
      <c r="M124" s="97"/>
      <c r="N124" s="95"/>
      <c r="O124" s="142"/>
      <c r="P124" s="97"/>
    </row>
    <row r="125" spans="1:19" s="65" customFormat="1" ht="15.75" thickBot="1" x14ac:dyDescent="0.25"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9"/>
      <c r="O125" s="143"/>
      <c r="P125" s="97"/>
    </row>
    <row r="126" spans="1:19" s="65" customFormat="1" ht="15.75" x14ac:dyDescent="0.25">
      <c r="A126" s="100" t="s">
        <v>89</v>
      </c>
      <c r="B126" s="101"/>
      <c r="C126" s="102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143"/>
      <c r="P126" s="97"/>
    </row>
    <row r="127" spans="1:19" s="65" customFormat="1" ht="15.75" x14ac:dyDescent="0.25">
      <c r="A127" s="103" t="s">
        <v>3</v>
      </c>
      <c r="B127" s="104"/>
      <c r="C127" s="105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144"/>
      <c r="P127" s="97"/>
    </row>
    <row r="128" spans="1:19" s="65" customFormat="1" ht="8.1" customHeight="1" thickBot="1" x14ac:dyDescent="0.25">
      <c r="A128" s="106"/>
      <c r="B128" s="107"/>
      <c r="C128" s="10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144"/>
      <c r="P128" s="97"/>
    </row>
    <row r="129" spans="1:16" s="65" customFormat="1" ht="8.1" customHeight="1" x14ac:dyDescent="0.2">
      <c r="A129" s="109"/>
      <c r="B129" s="110"/>
      <c r="C129" s="111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144"/>
      <c r="P129" s="97"/>
    </row>
    <row r="130" spans="1:16" s="65" customFormat="1" ht="15.95" customHeight="1" x14ac:dyDescent="0.2">
      <c r="A130" s="112" t="s">
        <v>90</v>
      </c>
      <c r="B130" s="113"/>
      <c r="C130" s="114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144"/>
      <c r="P130" s="97"/>
    </row>
    <row r="131" spans="1:16" s="65" customFormat="1" ht="15.95" customHeight="1" x14ac:dyDescent="0.2">
      <c r="A131" s="115" t="s">
        <v>229</v>
      </c>
      <c r="B131" s="113"/>
      <c r="C131" s="61">
        <f>198363.1+404138.05-4196.85</f>
        <v>598304.30000000005</v>
      </c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144"/>
      <c r="P131" s="97"/>
    </row>
    <row r="132" spans="1:16" s="65" customFormat="1" ht="15.95" customHeight="1" x14ac:dyDescent="0.2">
      <c r="A132" s="115" t="s">
        <v>91</v>
      </c>
      <c r="B132" s="113"/>
      <c r="C132" s="61">
        <f>+O20</f>
        <v>4998444.24</v>
      </c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144"/>
      <c r="P132" s="97"/>
    </row>
    <row r="133" spans="1:16" s="65" customFormat="1" ht="15.95" customHeight="1" x14ac:dyDescent="0.2">
      <c r="A133" s="115" t="s">
        <v>92</v>
      </c>
      <c r="B133" s="113"/>
      <c r="C133" s="116">
        <f>-O123</f>
        <v>-4453418.0200000014</v>
      </c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144"/>
      <c r="P133" s="97"/>
    </row>
    <row r="134" spans="1:16" s="65" customFormat="1" ht="15.95" customHeight="1" x14ac:dyDescent="0.25">
      <c r="A134" s="117" t="s">
        <v>93</v>
      </c>
      <c r="B134" s="118"/>
      <c r="C134" s="119">
        <f>SUM(C131:C133)</f>
        <v>1143330.5199999986</v>
      </c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144"/>
      <c r="P134" s="97"/>
    </row>
    <row r="135" spans="1:16" s="65" customFormat="1" ht="8.1" customHeight="1" x14ac:dyDescent="0.25">
      <c r="A135" s="117"/>
      <c r="B135" s="118"/>
      <c r="C135" s="119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144"/>
      <c r="P135" s="97"/>
    </row>
    <row r="136" spans="1:16" s="65" customFormat="1" ht="15.95" customHeight="1" x14ac:dyDescent="0.2">
      <c r="A136" s="112" t="s">
        <v>94</v>
      </c>
      <c r="B136" s="113"/>
      <c r="C136" s="61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144"/>
      <c r="P136" s="97"/>
    </row>
    <row r="137" spans="1:16" s="65" customFormat="1" ht="15.95" customHeight="1" x14ac:dyDescent="0.2">
      <c r="A137" s="115" t="s">
        <v>95</v>
      </c>
      <c r="B137" s="113"/>
      <c r="C137" s="61">
        <v>2991.29</v>
      </c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144"/>
      <c r="P137" s="97"/>
    </row>
    <row r="138" spans="1:16" s="65" customFormat="1" ht="15.95" customHeight="1" x14ac:dyDescent="0.2">
      <c r="A138" s="115" t="s">
        <v>280</v>
      </c>
      <c r="B138" s="113"/>
      <c r="C138" s="61">
        <v>104.66</v>
      </c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144"/>
      <c r="P138" s="97"/>
    </row>
    <row r="139" spans="1:16" s="65" customFormat="1" ht="15.95" customHeight="1" x14ac:dyDescent="0.2">
      <c r="A139" s="115" t="s">
        <v>97</v>
      </c>
      <c r="B139" s="113"/>
      <c r="C139" s="61">
        <v>3342.27</v>
      </c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144"/>
      <c r="P139" s="97"/>
    </row>
    <row r="140" spans="1:16" s="65" customFormat="1" ht="5.0999999999999996" customHeight="1" x14ac:dyDescent="0.2">
      <c r="A140" s="115"/>
      <c r="B140" s="113"/>
      <c r="C140" s="116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144"/>
      <c r="P140" s="97"/>
    </row>
    <row r="141" spans="1:16" s="65" customFormat="1" ht="15.75" x14ac:dyDescent="0.25">
      <c r="A141" s="117"/>
      <c r="B141" s="118"/>
      <c r="C141" s="119">
        <f>SUM(C137:C140)</f>
        <v>6438.2199999999993</v>
      </c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144"/>
      <c r="P141" s="97"/>
    </row>
    <row r="142" spans="1:16" s="65" customFormat="1" ht="5.0999999999999996" customHeight="1" x14ac:dyDescent="0.25">
      <c r="A142" s="117"/>
      <c r="B142" s="118"/>
      <c r="C142" s="120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144"/>
      <c r="P142" s="97"/>
    </row>
    <row r="143" spans="1:16" s="65" customFormat="1" ht="8.1" customHeight="1" x14ac:dyDescent="0.25">
      <c r="A143" s="117"/>
      <c r="B143" s="118"/>
      <c r="C143" s="119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144"/>
      <c r="P143" s="97"/>
    </row>
    <row r="144" spans="1:16" s="65" customFormat="1" ht="16.5" thickBot="1" x14ac:dyDescent="0.3">
      <c r="A144" s="121" t="s">
        <v>303</v>
      </c>
      <c r="B144" s="122"/>
      <c r="C144" s="123">
        <f>C134+C141+0.01</f>
        <v>1149768.7499999986</v>
      </c>
      <c r="D144" s="97"/>
      <c r="E144" s="97"/>
      <c r="F144" s="97"/>
      <c r="G144" s="97"/>
      <c r="H144" s="97"/>
      <c r="I144" s="97"/>
      <c r="J144" s="97"/>
      <c r="K144" s="97"/>
      <c r="N144" s="97"/>
      <c r="O144" s="144"/>
      <c r="P144" s="97"/>
    </row>
    <row r="145" spans="1:16" s="65" customFormat="1" ht="15" x14ac:dyDescent="0.2">
      <c r="A145" s="65" t="s">
        <v>277</v>
      </c>
      <c r="C145" s="146">
        <f>1149768.75-C144</f>
        <v>0</v>
      </c>
      <c r="D145" s="97"/>
      <c r="E145" s="97"/>
      <c r="F145" s="97"/>
      <c r="G145" s="97"/>
      <c r="H145" s="97"/>
      <c r="I145" s="97"/>
      <c r="J145" s="97"/>
      <c r="K145" s="97"/>
      <c r="N145" s="97"/>
      <c r="O145" s="144"/>
      <c r="P145" s="97"/>
    </row>
    <row r="146" spans="1:16" s="65" customFormat="1" ht="15" x14ac:dyDescent="0.2">
      <c r="C146" s="97"/>
      <c r="O146" s="133"/>
    </row>
    <row r="147" spans="1:16" s="65" customFormat="1" ht="15" x14ac:dyDescent="0.2">
      <c r="B147" s="65" t="s">
        <v>302</v>
      </c>
      <c r="O147" s="133"/>
    </row>
    <row r="148" spans="1:16" s="65" customFormat="1" ht="15" x14ac:dyDescent="0.2">
      <c r="O148" s="133"/>
    </row>
    <row r="149" spans="1:16" s="65" customFormat="1" ht="15" x14ac:dyDescent="0.2">
      <c r="O149" s="133"/>
    </row>
    <row r="150" spans="1:16" s="65" customFormat="1" ht="15" x14ac:dyDescent="0.2">
      <c r="O150" s="133"/>
    </row>
    <row r="151" spans="1:16" s="65" customFormat="1" ht="15" x14ac:dyDescent="0.2">
      <c r="O151" s="133"/>
    </row>
    <row r="152" spans="1:16" s="65" customFormat="1" ht="15" x14ac:dyDescent="0.2">
      <c r="O152" s="133"/>
    </row>
    <row r="153" spans="1:16" s="65" customFormat="1" ht="15" x14ac:dyDescent="0.2">
      <c r="M153" s="124"/>
      <c r="O153" s="133"/>
    </row>
    <row r="154" spans="1:16" s="65" customFormat="1" ht="15" x14ac:dyDescent="0.2">
      <c r="M154" s="124"/>
      <c r="O154" s="133"/>
    </row>
    <row r="155" spans="1:16" s="65" customFormat="1" ht="15" x14ac:dyDescent="0.2">
      <c r="B155" s="65" t="s">
        <v>98</v>
      </c>
      <c r="F155" s="65" t="s">
        <v>99</v>
      </c>
      <c r="I155" s="124"/>
      <c r="J155" s="65" t="s">
        <v>291</v>
      </c>
      <c r="K155" s="124"/>
      <c r="L155" s="66"/>
      <c r="M155" s="66"/>
      <c r="O155" s="133"/>
    </row>
    <row r="156" spans="1:16" s="65" customFormat="1" ht="15" x14ac:dyDescent="0.2">
      <c r="B156" s="65" t="s">
        <v>100</v>
      </c>
      <c r="F156" s="65" t="s">
        <v>101</v>
      </c>
      <c r="I156" s="124"/>
      <c r="J156" s="65" t="s">
        <v>105</v>
      </c>
      <c r="K156" s="124"/>
      <c r="L156" s="66"/>
      <c r="M156" s="66"/>
      <c r="O156" s="133"/>
    </row>
    <row r="164" spans="7:7" x14ac:dyDescent="0.2">
      <c r="G164" s="130"/>
    </row>
  </sheetData>
  <mergeCells count="2">
    <mergeCell ref="B6:B7"/>
    <mergeCell ref="O6:O7"/>
  </mergeCells>
  <printOptions horizontalCentered="1"/>
  <pageMargins left="0.19685039370078741" right="0.19685039370078741" top="0.78740157480314965" bottom="0.59055118110236227" header="0.39370078740157483" footer="0.39370078740157483"/>
  <pageSetup scale="50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showGridLines="0" topLeftCell="A74" zoomScale="85" zoomScaleNormal="85" workbookViewId="0">
      <selection activeCell="A88" sqref="A88"/>
    </sheetView>
  </sheetViews>
  <sheetFormatPr baseColWidth="10" defaultRowHeight="14.25" x14ac:dyDescent="0.2"/>
  <cols>
    <col min="1" max="1" width="12.42578125" style="66" customWidth="1"/>
    <col min="2" max="2" width="37.7109375" style="66" customWidth="1"/>
    <col min="3" max="3" width="16" style="66" customWidth="1"/>
    <col min="4" max="4" width="13.28515625" style="66" customWidth="1"/>
    <col min="5" max="11" width="12.85546875" style="66" customWidth="1"/>
    <col min="12" max="17" width="12.85546875" style="169" customWidth="1"/>
    <col min="18" max="18" width="16.42578125" style="66" customWidth="1"/>
    <col min="19" max="19" width="15.140625" style="145" customWidth="1"/>
    <col min="20" max="20" width="15.5703125" style="66" customWidth="1"/>
    <col min="21" max="21" width="10.7109375" style="66" customWidth="1"/>
    <col min="22" max="22" width="20.42578125" style="66" customWidth="1"/>
    <col min="23" max="23" width="18.7109375" style="66" customWidth="1"/>
    <col min="24" max="16384" width="11.42578125" style="66"/>
  </cols>
  <sheetData>
    <row r="1" spans="1:23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5"/>
      <c r="M1" s="155"/>
      <c r="N1" s="155"/>
      <c r="O1" s="155"/>
      <c r="P1" s="155"/>
      <c r="Q1" s="155"/>
      <c r="R1" s="64"/>
      <c r="S1" s="132"/>
      <c r="T1" s="64"/>
      <c r="U1" s="64"/>
      <c r="V1" s="65"/>
      <c r="W1" s="65"/>
    </row>
    <row r="2" spans="1:23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55"/>
      <c r="M2" s="155"/>
      <c r="N2" s="155"/>
      <c r="O2" s="155"/>
      <c r="P2" s="155"/>
      <c r="Q2" s="155"/>
      <c r="R2" s="64"/>
      <c r="S2" s="132"/>
      <c r="T2" s="64"/>
      <c r="U2" s="64"/>
      <c r="V2" s="65"/>
      <c r="W2" s="65"/>
    </row>
    <row r="3" spans="1:23" ht="15.75" x14ac:dyDescent="0.25">
      <c r="A3" s="64" t="s">
        <v>304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55"/>
      <c r="M3" s="155"/>
      <c r="N3" s="155"/>
      <c r="O3" s="155"/>
      <c r="P3" s="155"/>
      <c r="Q3" s="155"/>
      <c r="R3" s="64"/>
      <c r="S3" s="132"/>
      <c r="T3" s="64"/>
      <c r="U3" s="64"/>
      <c r="V3" s="65"/>
      <c r="W3" s="65"/>
    </row>
    <row r="4" spans="1:23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55"/>
      <c r="M4" s="155"/>
      <c r="N4" s="155"/>
      <c r="O4" s="155"/>
      <c r="P4" s="155"/>
      <c r="Q4" s="155"/>
      <c r="R4" s="64"/>
      <c r="S4" s="132"/>
      <c r="T4" s="64"/>
      <c r="U4" s="64"/>
      <c r="V4" s="65"/>
      <c r="W4" s="65"/>
    </row>
    <row r="5" spans="1:23" ht="15.7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156"/>
      <c r="M5" s="156"/>
      <c r="N5" s="156"/>
      <c r="O5" s="156"/>
      <c r="P5" s="156"/>
      <c r="Q5" s="156"/>
      <c r="R5" s="65"/>
      <c r="S5" s="133"/>
      <c r="T5" s="65"/>
      <c r="U5" s="65"/>
      <c r="V5" s="65"/>
      <c r="W5" s="65"/>
    </row>
    <row r="6" spans="1:23" ht="16.5" thickBot="1" x14ac:dyDescent="0.3">
      <c r="A6" s="67" t="s">
        <v>102</v>
      </c>
      <c r="B6" s="181" t="s">
        <v>5</v>
      </c>
      <c r="C6" s="68" t="s">
        <v>6</v>
      </c>
      <c r="D6" s="69" t="s">
        <v>7</v>
      </c>
      <c r="E6" s="69"/>
      <c r="F6" s="69" t="s">
        <v>8</v>
      </c>
      <c r="G6" s="69"/>
      <c r="H6" s="69" t="s">
        <v>9</v>
      </c>
      <c r="I6" s="69"/>
      <c r="J6" s="69" t="s">
        <v>295</v>
      </c>
      <c r="K6" s="69"/>
      <c r="L6" s="157" t="s">
        <v>308</v>
      </c>
      <c r="M6" s="157"/>
      <c r="N6" s="157" t="s">
        <v>309</v>
      </c>
      <c r="O6" s="157"/>
      <c r="P6" s="157" t="s">
        <v>319</v>
      </c>
      <c r="Q6" s="157"/>
      <c r="R6" s="67" t="s">
        <v>6</v>
      </c>
      <c r="S6" s="185" t="s">
        <v>10</v>
      </c>
      <c r="T6" s="67" t="s">
        <v>11</v>
      </c>
      <c r="U6" s="68" t="s">
        <v>12</v>
      </c>
      <c r="V6" s="65"/>
      <c r="W6" s="65"/>
    </row>
    <row r="7" spans="1:23" ht="16.5" thickBot="1" x14ac:dyDescent="0.3">
      <c r="A7" s="70" t="s">
        <v>103</v>
      </c>
      <c r="B7" s="182"/>
      <c r="C7" s="70" t="s">
        <v>13</v>
      </c>
      <c r="D7" s="70" t="s">
        <v>14</v>
      </c>
      <c r="E7" s="70" t="s">
        <v>310</v>
      </c>
      <c r="F7" s="70" t="s">
        <v>14</v>
      </c>
      <c r="G7" s="70" t="s">
        <v>310</v>
      </c>
      <c r="H7" s="70" t="s">
        <v>14</v>
      </c>
      <c r="I7" s="70" t="s">
        <v>310</v>
      </c>
      <c r="J7" s="70" t="s">
        <v>14</v>
      </c>
      <c r="K7" s="70" t="s">
        <v>310</v>
      </c>
      <c r="L7" s="158" t="s">
        <v>14</v>
      </c>
      <c r="M7" s="70" t="s">
        <v>310</v>
      </c>
      <c r="N7" s="158" t="s">
        <v>14</v>
      </c>
      <c r="O7" s="70" t="s">
        <v>310</v>
      </c>
      <c r="P7" s="158" t="s">
        <v>14</v>
      </c>
      <c r="Q7" s="70" t="s">
        <v>310</v>
      </c>
      <c r="R7" s="70" t="s">
        <v>16</v>
      </c>
      <c r="S7" s="186"/>
      <c r="T7" s="70" t="s">
        <v>17</v>
      </c>
      <c r="U7" s="71" t="s">
        <v>18</v>
      </c>
      <c r="V7" s="65"/>
      <c r="W7" s="65"/>
    </row>
    <row r="8" spans="1:23" s="113" customFormat="1" ht="8.1" customHeight="1" x14ac:dyDescent="0.2">
      <c r="A8" s="91"/>
      <c r="B8" s="91"/>
      <c r="C8" s="125"/>
      <c r="D8" s="125"/>
      <c r="E8" s="125"/>
      <c r="F8" s="125"/>
      <c r="G8" s="125"/>
      <c r="H8" s="125"/>
      <c r="I8" s="125"/>
      <c r="J8" s="125"/>
      <c r="K8" s="125"/>
      <c r="L8" s="159"/>
      <c r="M8" s="159"/>
      <c r="N8" s="159"/>
      <c r="O8" s="159"/>
      <c r="P8" s="159"/>
      <c r="Q8" s="159"/>
      <c r="R8" s="125"/>
      <c r="S8" s="134"/>
      <c r="T8" s="125"/>
      <c r="U8" s="91"/>
    </row>
    <row r="9" spans="1:23" s="113" customFormat="1" ht="17.100000000000001" customHeight="1" x14ac:dyDescent="0.25">
      <c r="A9" s="73"/>
      <c r="B9" s="74" t="s">
        <v>19</v>
      </c>
      <c r="C9" s="75"/>
      <c r="D9" s="75"/>
      <c r="E9" s="75"/>
      <c r="F9" s="75"/>
      <c r="G9" s="75"/>
      <c r="H9" s="75"/>
      <c r="I9" s="75"/>
      <c r="J9" s="75"/>
      <c r="K9" s="75"/>
      <c r="L9" s="160"/>
      <c r="M9" s="160"/>
      <c r="N9" s="160"/>
      <c r="O9" s="160"/>
      <c r="P9" s="160"/>
      <c r="Q9" s="160"/>
      <c r="R9" s="75"/>
      <c r="S9" s="135"/>
      <c r="T9" s="75"/>
      <c r="U9" s="73"/>
    </row>
    <row r="10" spans="1:23" s="65" customFormat="1" ht="17.100000000000001" customHeight="1" x14ac:dyDescent="0.25">
      <c r="A10" s="72"/>
      <c r="B10" s="76" t="s">
        <v>20</v>
      </c>
      <c r="C10" s="77">
        <f>198363.1+404138.05</f>
        <v>602501.15</v>
      </c>
      <c r="D10" s="77"/>
      <c r="E10" s="77">
        <v>4196.8500000000004</v>
      </c>
      <c r="F10" s="77"/>
      <c r="G10" s="77"/>
      <c r="H10" s="77"/>
      <c r="I10" s="77"/>
      <c r="J10" s="77"/>
      <c r="K10" s="77"/>
      <c r="L10" s="161"/>
      <c r="M10" s="161"/>
      <c r="N10" s="161"/>
      <c r="O10" s="161"/>
      <c r="P10" s="161"/>
      <c r="Q10" s="161"/>
      <c r="R10" s="77">
        <f t="shared" ref="R10:R19" si="0">C10+D10-E10+F10-G10+H10-I10+J10-K10</f>
        <v>598304.30000000005</v>
      </c>
      <c r="S10" s="136">
        <v>0</v>
      </c>
      <c r="T10" s="77">
        <f>R10-S10</f>
        <v>598304.30000000005</v>
      </c>
      <c r="U10" s="78">
        <f>S10/$S$20</f>
        <v>0</v>
      </c>
    </row>
    <row r="11" spans="1:23" s="65" customFormat="1" ht="17.100000000000001" customHeight="1" x14ac:dyDescent="0.2">
      <c r="A11" s="72" t="s">
        <v>241</v>
      </c>
      <c r="B11" s="72" t="s">
        <v>265</v>
      </c>
      <c r="C11" s="77">
        <v>15000</v>
      </c>
      <c r="D11" s="77">
        <v>13000</v>
      </c>
      <c r="E11" s="77"/>
      <c r="F11" s="77">
        <v>12500</v>
      </c>
      <c r="G11" s="77"/>
      <c r="H11" s="77"/>
      <c r="I11" s="77"/>
      <c r="J11" s="77"/>
      <c r="K11" s="77"/>
      <c r="L11" s="161"/>
      <c r="M11" s="161"/>
      <c r="N11" s="161"/>
      <c r="O11" s="161"/>
      <c r="P11" s="161"/>
      <c r="Q11" s="161"/>
      <c r="R11" s="77">
        <f t="shared" si="0"/>
        <v>40500</v>
      </c>
      <c r="S11" s="136">
        <v>32032</v>
      </c>
      <c r="T11" s="77">
        <f>R11-S11</f>
        <v>8468</v>
      </c>
      <c r="U11" s="78">
        <f>S11/$S$20</f>
        <v>5.984382282997862E-3</v>
      </c>
    </row>
    <row r="12" spans="1:23" s="65" customFormat="1" ht="17.100000000000001" customHeight="1" x14ac:dyDescent="0.2">
      <c r="A12" s="72" t="s">
        <v>242</v>
      </c>
      <c r="B12" s="72" t="s">
        <v>266</v>
      </c>
      <c r="C12" s="77">
        <v>65000</v>
      </c>
      <c r="D12" s="77"/>
      <c r="E12" s="77"/>
      <c r="F12" s="77"/>
      <c r="G12" s="77"/>
      <c r="H12" s="77"/>
      <c r="I12" s="77"/>
      <c r="J12" s="77"/>
      <c r="K12" s="77"/>
      <c r="L12" s="161"/>
      <c r="M12" s="161"/>
      <c r="N12" s="161"/>
      <c r="O12" s="161"/>
      <c r="P12" s="161"/>
      <c r="Q12" s="161"/>
      <c r="R12" s="77">
        <f t="shared" si="0"/>
        <v>65000</v>
      </c>
      <c r="S12" s="136">
        <f>64088.72+1160</f>
        <v>65248.72</v>
      </c>
      <c r="T12" s="77">
        <f>R12-S12</f>
        <v>-248.72000000000116</v>
      </c>
      <c r="U12" s="78">
        <f t="shared" ref="U12:U19" si="1">S12/$S$20</f>
        <v>1.2190100023610397E-2</v>
      </c>
    </row>
    <row r="13" spans="1:23" s="65" customFormat="1" ht="17.100000000000001" customHeight="1" x14ac:dyDescent="0.2">
      <c r="A13" s="79" t="s">
        <v>243</v>
      </c>
      <c r="B13" s="72" t="s">
        <v>267</v>
      </c>
      <c r="C13" s="77">
        <v>3500</v>
      </c>
      <c r="D13" s="77"/>
      <c r="E13" s="77"/>
      <c r="F13" s="77"/>
      <c r="G13" s="77"/>
      <c r="H13" s="77"/>
      <c r="I13" s="77"/>
      <c r="J13" s="77"/>
      <c r="K13" s="77"/>
      <c r="L13" s="161"/>
      <c r="M13" s="161"/>
      <c r="N13" s="161"/>
      <c r="O13" s="161"/>
      <c r="P13" s="161"/>
      <c r="Q13" s="161"/>
      <c r="R13" s="77">
        <f t="shared" si="0"/>
        <v>3500</v>
      </c>
      <c r="S13" s="136">
        <v>0</v>
      </c>
      <c r="T13" s="77">
        <f t="shared" ref="T13:T14" si="2">R13-S13</f>
        <v>3500</v>
      </c>
      <c r="U13" s="78">
        <f t="shared" si="1"/>
        <v>0</v>
      </c>
    </row>
    <row r="14" spans="1:23" s="65" customFormat="1" ht="17.100000000000001" customHeight="1" x14ac:dyDescent="0.2">
      <c r="A14" s="79">
        <v>15.1</v>
      </c>
      <c r="B14" s="72" t="s">
        <v>247</v>
      </c>
      <c r="C14" s="77">
        <v>3000</v>
      </c>
      <c r="D14" s="77"/>
      <c r="E14" s="77"/>
      <c r="F14" s="77"/>
      <c r="G14" s="77"/>
      <c r="H14" s="77"/>
      <c r="I14" s="77"/>
      <c r="J14" s="77"/>
      <c r="K14" s="77"/>
      <c r="L14" s="161"/>
      <c r="M14" s="161"/>
      <c r="N14" s="161"/>
      <c r="O14" s="161"/>
      <c r="P14" s="161"/>
      <c r="Q14" s="161"/>
      <c r="R14" s="77">
        <f t="shared" si="0"/>
        <v>3000</v>
      </c>
      <c r="S14" s="136">
        <f>1233.5+457.74</f>
        <v>1691.24</v>
      </c>
      <c r="T14" s="77">
        <f t="shared" si="2"/>
        <v>1308.76</v>
      </c>
      <c r="U14" s="78">
        <f t="shared" si="1"/>
        <v>3.1596611801627448E-4</v>
      </c>
    </row>
    <row r="15" spans="1:23" s="65" customFormat="1" ht="17.100000000000001" customHeight="1" x14ac:dyDescent="0.2">
      <c r="A15" s="72" t="s">
        <v>24</v>
      </c>
      <c r="B15" s="72" t="s">
        <v>25</v>
      </c>
      <c r="C15" s="77">
        <v>2745062.93</v>
      </c>
      <c r="D15" s="77">
        <v>95966.17</v>
      </c>
      <c r="E15" s="77"/>
      <c r="F15" s="77"/>
      <c r="G15" s="77"/>
      <c r="H15" s="77"/>
      <c r="I15" s="77"/>
      <c r="J15" s="77"/>
      <c r="K15" s="77"/>
      <c r="L15" s="161"/>
      <c r="M15" s="161"/>
      <c r="N15" s="161"/>
      <c r="O15" s="161"/>
      <c r="P15" s="161"/>
      <c r="Q15" s="161"/>
      <c r="R15" s="77">
        <f t="shared" si="0"/>
        <v>2841029.1</v>
      </c>
      <c r="S15" s="136">
        <f>2263018.02+249486.07</f>
        <v>2512504.09</v>
      </c>
      <c r="T15" s="77">
        <f>R15-S15</f>
        <v>328525.01000000024</v>
      </c>
      <c r="U15" s="78">
        <f t="shared" si="1"/>
        <v>0.46939888118617834</v>
      </c>
    </row>
    <row r="16" spans="1:23" s="65" customFormat="1" ht="17.100000000000001" customHeight="1" x14ac:dyDescent="0.2">
      <c r="A16" s="72" t="s">
        <v>26</v>
      </c>
      <c r="B16" s="72" t="s">
        <v>27</v>
      </c>
      <c r="C16" s="77">
        <v>4934974.71</v>
      </c>
      <c r="D16" s="77"/>
      <c r="E16" s="77"/>
      <c r="F16" s="77"/>
      <c r="G16" s="77"/>
      <c r="H16" s="77"/>
      <c r="I16" s="77"/>
      <c r="J16" s="77"/>
      <c r="K16" s="77"/>
      <c r="L16" s="161"/>
      <c r="M16" s="161"/>
      <c r="N16" s="161"/>
      <c r="O16" s="161"/>
      <c r="P16" s="161"/>
      <c r="Q16" s="161"/>
      <c r="R16" s="77">
        <f t="shared" si="0"/>
        <v>4934974.71</v>
      </c>
      <c r="S16" s="136">
        <v>260706.83</v>
      </c>
      <c r="T16" s="77">
        <f t="shared" ref="T16:T19" si="3">R16-S16</f>
        <v>4674267.88</v>
      </c>
      <c r="U16" s="78">
        <f t="shared" si="1"/>
        <v>4.8706585118273457E-2</v>
      </c>
    </row>
    <row r="17" spans="1:21" s="65" customFormat="1" ht="17.100000000000001" customHeight="1" x14ac:dyDescent="0.2">
      <c r="A17" s="72" t="s">
        <v>28</v>
      </c>
      <c r="B17" s="72" t="s">
        <v>29</v>
      </c>
      <c r="C17" s="77">
        <v>1290000</v>
      </c>
      <c r="D17" s="77"/>
      <c r="E17" s="77">
        <v>8059.23</v>
      </c>
      <c r="F17" s="77">
        <v>242187</v>
      </c>
      <c r="G17" s="77"/>
      <c r="H17" s="77">
        <v>240000</v>
      </c>
      <c r="I17" s="77"/>
      <c r="J17" s="77"/>
      <c r="K17" s="77"/>
      <c r="L17" s="161"/>
      <c r="M17" s="161"/>
      <c r="N17" s="161"/>
      <c r="O17" s="161"/>
      <c r="P17" s="161"/>
      <c r="Q17" s="161"/>
      <c r="R17" s="77">
        <f t="shared" si="0"/>
        <v>1764127.77</v>
      </c>
      <c r="S17" s="136">
        <v>1685630.54</v>
      </c>
      <c r="T17" s="77">
        <f t="shared" si="3"/>
        <v>78497.229999999981</v>
      </c>
      <c r="U17" s="78">
        <f t="shared" si="1"/>
        <v>0.31491812997178192</v>
      </c>
    </row>
    <row r="18" spans="1:21" s="65" customFormat="1" ht="17.100000000000001" customHeight="1" x14ac:dyDescent="0.2">
      <c r="A18" s="72" t="s">
        <v>30</v>
      </c>
      <c r="B18" s="72" t="s">
        <v>31</v>
      </c>
      <c r="C18" s="77">
        <v>20000</v>
      </c>
      <c r="D18" s="77"/>
      <c r="E18" s="77"/>
      <c r="F18" s="77"/>
      <c r="G18" s="77"/>
      <c r="H18" s="77"/>
      <c r="I18" s="77"/>
      <c r="J18" s="77"/>
      <c r="K18" s="77"/>
      <c r="L18" s="161"/>
      <c r="M18" s="161"/>
      <c r="N18" s="161"/>
      <c r="O18" s="161"/>
      <c r="P18" s="161"/>
      <c r="Q18" s="161"/>
      <c r="R18" s="77">
        <f t="shared" si="0"/>
        <v>20000</v>
      </c>
      <c r="S18" s="136">
        <v>20000</v>
      </c>
      <c r="T18" s="77">
        <f t="shared" si="3"/>
        <v>0</v>
      </c>
      <c r="U18" s="78">
        <f t="shared" si="1"/>
        <v>3.7365024244492145E-3</v>
      </c>
    </row>
    <row r="19" spans="1:21" s="65" customFormat="1" ht="17.100000000000001" customHeight="1" thickBot="1" x14ac:dyDescent="0.25">
      <c r="A19" s="72"/>
      <c r="B19" s="72" t="s">
        <v>32</v>
      </c>
      <c r="C19" s="77">
        <f>850000+14137.2+261097.2</f>
        <v>1125234.3999999999</v>
      </c>
      <c r="D19" s="77"/>
      <c r="E19" s="77"/>
      <c r="F19" s="77"/>
      <c r="G19" s="77"/>
      <c r="H19" s="77"/>
      <c r="I19" s="77"/>
      <c r="J19" s="77"/>
      <c r="K19" s="77"/>
      <c r="L19" s="161"/>
      <c r="M19" s="161"/>
      <c r="N19" s="161"/>
      <c r="O19" s="161"/>
      <c r="P19" s="161"/>
      <c r="Q19" s="161"/>
      <c r="R19" s="77">
        <f t="shared" si="0"/>
        <v>1125234.3999999999</v>
      </c>
      <c r="S19" s="136">
        <v>774785.81</v>
      </c>
      <c r="T19" s="77">
        <f t="shared" si="3"/>
        <v>350448.58999999985</v>
      </c>
      <c r="U19" s="78">
        <f t="shared" si="1"/>
        <v>0.14474945287469243</v>
      </c>
    </row>
    <row r="20" spans="1:21" s="65" customFormat="1" ht="17.100000000000001" customHeight="1" thickBot="1" x14ac:dyDescent="0.3">
      <c r="A20" s="80"/>
      <c r="B20" s="80" t="s">
        <v>33</v>
      </c>
      <c r="C20" s="81">
        <f>SUM(C10:C19)</f>
        <v>10804273.189999999</v>
      </c>
      <c r="D20" s="81">
        <f t="shared" ref="D20:E20" si="4">SUM(D10:D19)</f>
        <v>108966.17</v>
      </c>
      <c r="E20" s="81">
        <f t="shared" si="4"/>
        <v>12256.08</v>
      </c>
      <c r="F20" s="81">
        <f t="shared" ref="F20:M20" si="5">SUM(F11:F18)</f>
        <v>254687</v>
      </c>
      <c r="G20" s="81">
        <f t="shared" si="5"/>
        <v>0</v>
      </c>
      <c r="H20" s="81">
        <f t="shared" si="5"/>
        <v>240000</v>
      </c>
      <c r="I20" s="81">
        <f t="shared" si="5"/>
        <v>0</v>
      </c>
      <c r="J20" s="81">
        <f t="shared" si="5"/>
        <v>0</v>
      </c>
      <c r="K20" s="81">
        <f t="shared" si="5"/>
        <v>0</v>
      </c>
      <c r="L20" s="162">
        <f t="shared" si="5"/>
        <v>0</v>
      </c>
      <c r="M20" s="162">
        <f t="shared" si="5"/>
        <v>0</v>
      </c>
      <c r="N20" s="162">
        <f t="shared" ref="N20:O20" si="6">SUM(N11:N18)</f>
        <v>0</v>
      </c>
      <c r="O20" s="162">
        <f t="shared" si="6"/>
        <v>0</v>
      </c>
      <c r="P20" s="162">
        <f t="shared" ref="P20:Q20" si="7">SUM(P11:P18)</f>
        <v>0</v>
      </c>
      <c r="Q20" s="162">
        <f t="shared" si="7"/>
        <v>0</v>
      </c>
      <c r="R20" s="81">
        <f>SUM(R10:R19)</f>
        <v>11395670.279999999</v>
      </c>
      <c r="S20" s="137">
        <f>SUM(S10:S19)</f>
        <v>5352599.2300000004</v>
      </c>
      <c r="T20" s="81">
        <f>SUM(T10:T19)</f>
        <v>6043071.0500000007</v>
      </c>
      <c r="U20" s="82">
        <v>0</v>
      </c>
    </row>
    <row r="21" spans="1:21" s="113" customFormat="1" ht="8.1" customHeight="1" x14ac:dyDescent="0.2">
      <c r="A21" s="126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63"/>
      <c r="M21" s="163"/>
      <c r="N21" s="163"/>
      <c r="O21" s="163"/>
      <c r="P21" s="163"/>
      <c r="Q21" s="163"/>
      <c r="R21" s="127"/>
      <c r="S21" s="138"/>
      <c r="T21" s="127"/>
      <c r="U21" s="128"/>
    </row>
    <row r="22" spans="1:21" s="113" customFormat="1" ht="17.100000000000001" customHeight="1" x14ac:dyDescent="0.25">
      <c r="A22" s="129" t="s">
        <v>4</v>
      </c>
      <c r="B22" s="74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164"/>
      <c r="M22" s="164"/>
      <c r="N22" s="164"/>
      <c r="O22" s="164"/>
      <c r="P22" s="164"/>
      <c r="Q22" s="164"/>
      <c r="R22" s="83"/>
      <c r="S22" s="139"/>
      <c r="T22" s="83"/>
      <c r="U22" s="84"/>
    </row>
    <row r="23" spans="1:21" s="65" customFormat="1" ht="17.100000000000001" customHeight="1" x14ac:dyDescent="0.25">
      <c r="A23" s="76"/>
      <c r="B23" s="85"/>
      <c r="C23" s="77"/>
      <c r="D23" s="77"/>
      <c r="E23" s="77"/>
      <c r="F23" s="77"/>
      <c r="G23" s="77"/>
      <c r="H23" s="77"/>
      <c r="I23" s="77"/>
      <c r="J23" s="77"/>
      <c r="K23" s="77"/>
      <c r="L23" s="161"/>
      <c r="M23" s="161"/>
      <c r="N23" s="161"/>
      <c r="O23" s="161"/>
      <c r="P23" s="161"/>
      <c r="Q23" s="161"/>
      <c r="R23" s="77"/>
      <c r="S23" s="136"/>
      <c r="T23" s="77"/>
      <c r="U23" s="78"/>
    </row>
    <row r="24" spans="1:21" s="65" customFormat="1" ht="17.100000000000001" customHeight="1" x14ac:dyDescent="0.25">
      <c r="A24" s="76"/>
      <c r="B24" s="85"/>
      <c r="C24" s="77"/>
      <c r="D24" s="77"/>
      <c r="E24" s="77"/>
      <c r="F24" s="77"/>
      <c r="G24" s="77"/>
      <c r="H24" s="77"/>
      <c r="I24" s="77"/>
      <c r="J24" s="77"/>
      <c r="K24" s="77"/>
      <c r="L24" s="161"/>
      <c r="M24" s="161"/>
      <c r="N24" s="161"/>
      <c r="O24" s="161"/>
      <c r="P24" s="161"/>
      <c r="Q24" s="161"/>
      <c r="R24" s="77"/>
      <c r="S24" s="136"/>
      <c r="T24" s="77"/>
      <c r="U24" s="78"/>
    </row>
    <row r="25" spans="1:21" s="65" customFormat="1" ht="17.100000000000001" customHeight="1" x14ac:dyDescent="0.25">
      <c r="A25" s="86">
        <v>0</v>
      </c>
      <c r="B25" s="87" t="s">
        <v>35</v>
      </c>
      <c r="C25" s="77"/>
      <c r="D25" s="77"/>
      <c r="E25" s="77"/>
      <c r="F25" s="77"/>
      <c r="G25" s="77"/>
      <c r="H25" s="77"/>
      <c r="I25" s="77"/>
      <c r="J25" s="77"/>
      <c r="K25" s="77"/>
      <c r="L25" s="161"/>
      <c r="M25" s="161"/>
      <c r="N25" s="161"/>
      <c r="O25" s="161"/>
      <c r="P25" s="161"/>
      <c r="Q25" s="161"/>
      <c r="R25" s="77"/>
      <c r="S25" s="136"/>
      <c r="T25" s="77"/>
      <c r="U25" s="78"/>
    </row>
    <row r="26" spans="1:21" s="65" customFormat="1" ht="17.100000000000001" customHeight="1" x14ac:dyDescent="0.2">
      <c r="A26" s="88" t="s">
        <v>36</v>
      </c>
      <c r="B26" s="72" t="s">
        <v>106</v>
      </c>
      <c r="C26" s="77">
        <v>773194.52</v>
      </c>
      <c r="D26" s="77"/>
      <c r="E26" s="77"/>
      <c r="F26" s="77"/>
      <c r="G26" s="77"/>
      <c r="H26" s="77"/>
      <c r="I26" s="77"/>
      <c r="J26" s="77"/>
      <c r="K26" s="77"/>
      <c r="L26" s="161"/>
      <c r="M26" s="161"/>
      <c r="N26" s="161"/>
      <c r="O26" s="161"/>
      <c r="P26" s="161"/>
      <c r="Q26" s="161"/>
      <c r="R26" s="77">
        <f t="shared" ref="R26:R37" si="8">C26+D26-E26+F26-G26+H26-I26+J26-K26</f>
        <v>773194.52</v>
      </c>
      <c r="S26" s="136">
        <v>651561.91</v>
      </c>
      <c r="T26" s="77">
        <f t="shared" ref="T26:T91" si="9">R26-S26</f>
        <v>121632.60999999999</v>
      </c>
      <c r="U26" s="78">
        <f t="shared" ref="U26:U37" si="10">S26/$S$127</f>
        <v>0.12561483050811839</v>
      </c>
    </row>
    <row r="27" spans="1:21" s="65" customFormat="1" ht="17.100000000000001" customHeight="1" x14ac:dyDescent="0.2">
      <c r="A27" s="88" t="s">
        <v>37</v>
      </c>
      <c r="B27" s="72" t="s">
        <v>107</v>
      </c>
      <c r="C27" s="77">
        <v>4500</v>
      </c>
      <c r="D27" s="77"/>
      <c r="E27" s="77"/>
      <c r="F27" s="77"/>
      <c r="G27" s="77"/>
      <c r="H27" s="77"/>
      <c r="I27" s="77"/>
      <c r="J27" s="77"/>
      <c r="K27" s="77"/>
      <c r="L27" s="161"/>
      <c r="M27" s="161"/>
      <c r="N27" s="161"/>
      <c r="O27" s="161"/>
      <c r="P27" s="161"/>
      <c r="Q27" s="161"/>
      <c r="R27" s="77">
        <f t="shared" si="8"/>
        <v>4500</v>
      </c>
      <c r="S27" s="136">
        <v>4125</v>
      </c>
      <c r="T27" s="77">
        <f t="shared" si="9"/>
        <v>375</v>
      </c>
      <c r="U27" s="78">
        <f t="shared" si="10"/>
        <v>7.9526007873294551E-4</v>
      </c>
    </row>
    <row r="28" spans="1:21" s="65" customFormat="1" ht="17.100000000000001" customHeight="1" x14ac:dyDescent="0.2">
      <c r="A28" s="88" t="s">
        <v>38</v>
      </c>
      <c r="B28" s="72" t="s">
        <v>108</v>
      </c>
      <c r="C28" s="77">
        <v>140850</v>
      </c>
      <c r="D28" s="77"/>
      <c r="E28" s="77"/>
      <c r="F28" s="77"/>
      <c r="G28" s="77"/>
      <c r="H28" s="77">
        <v>20000</v>
      </c>
      <c r="I28" s="77"/>
      <c r="J28" s="77"/>
      <c r="K28" s="77"/>
      <c r="L28" s="161"/>
      <c r="M28" s="161"/>
      <c r="N28" s="161"/>
      <c r="O28" s="161"/>
      <c r="P28" s="161"/>
      <c r="Q28" s="161"/>
      <c r="R28" s="77">
        <f t="shared" si="8"/>
        <v>160850</v>
      </c>
      <c r="S28" s="136">
        <v>104857.63</v>
      </c>
      <c r="T28" s="77">
        <f t="shared" si="9"/>
        <v>55992.369999999995</v>
      </c>
      <c r="U28" s="78">
        <f t="shared" si="10"/>
        <v>2.0215536264133353E-2</v>
      </c>
    </row>
    <row r="29" spans="1:21" s="65" customFormat="1" ht="17.100000000000001" customHeight="1" x14ac:dyDescent="0.2">
      <c r="A29" s="131" t="s">
        <v>281</v>
      </c>
      <c r="B29" s="72" t="s">
        <v>282</v>
      </c>
      <c r="C29" s="77">
        <v>0</v>
      </c>
      <c r="D29" s="77"/>
      <c r="E29" s="77"/>
      <c r="F29" s="77">
        <v>79750</v>
      </c>
      <c r="G29" s="77"/>
      <c r="H29" s="77"/>
      <c r="I29" s="77"/>
      <c r="J29" s="77"/>
      <c r="K29" s="77"/>
      <c r="L29" s="161"/>
      <c r="M29" s="161"/>
      <c r="N29" s="161"/>
      <c r="O29" s="161"/>
      <c r="P29" s="161"/>
      <c r="Q29" s="161"/>
      <c r="R29" s="77">
        <f t="shared" si="8"/>
        <v>79750</v>
      </c>
      <c r="S29" s="136">
        <v>17580.650000000001</v>
      </c>
      <c r="T29" s="77">
        <f t="shared" si="9"/>
        <v>62169.35</v>
      </c>
      <c r="U29" s="78">
        <f t="shared" si="10"/>
        <v>3.3893791765276025E-3</v>
      </c>
    </row>
    <row r="30" spans="1:21" s="65" customFormat="1" ht="17.100000000000001" customHeight="1" x14ac:dyDescent="0.2">
      <c r="A30" s="88" t="s">
        <v>40</v>
      </c>
      <c r="B30" s="72" t="s">
        <v>283</v>
      </c>
      <c r="C30" s="77">
        <v>0</v>
      </c>
      <c r="D30" s="77"/>
      <c r="E30" s="77"/>
      <c r="F30" s="77">
        <v>3250</v>
      </c>
      <c r="G30" s="77"/>
      <c r="H30" s="77"/>
      <c r="I30" s="77"/>
      <c r="J30" s="77"/>
      <c r="K30" s="77"/>
      <c r="L30" s="161"/>
      <c r="M30" s="161"/>
      <c r="N30" s="161"/>
      <c r="O30" s="161"/>
      <c r="P30" s="161"/>
      <c r="Q30" s="161"/>
      <c r="R30" s="77">
        <f t="shared" si="8"/>
        <v>3250</v>
      </c>
      <c r="S30" s="136">
        <v>1298.3899999999999</v>
      </c>
      <c r="T30" s="77">
        <f t="shared" si="9"/>
        <v>1951.6100000000001</v>
      </c>
      <c r="U30" s="78">
        <f t="shared" si="10"/>
        <v>2.5031702633359249E-4</v>
      </c>
    </row>
    <row r="31" spans="1:21" s="65" customFormat="1" ht="17.100000000000001" customHeight="1" x14ac:dyDescent="0.2">
      <c r="A31" s="88" t="s">
        <v>41</v>
      </c>
      <c r="B31" s="72" t="s">
        <v>110</v>
      </c>
      <c r="C31" s="77">
        <v>15400</v>
      </c>
      <c r="D31" s="77"/>
      <c r="E31" s="77"/>
      <c r="F31" s="77"/>
      <c r="G31" s="77"/>
      <c r="H31" s="77"/>
      <c r="I31" s="77"/>
      <c r="J31" s="77"/>
      <c r="K31" s="77"/>
      <c r="L31" s="161"/>
      <c r="M31" s="161"/>
      <c r="N31" s="161"/>
      <c r="O31" s="161"/>
      <c r="P31" s="161"/>
      <c r="Q31" s="161"/>
      <c r="R31" s="77">
        <f t="shared" si="8"/>
        <v>15400</v>
      </c>
      <c r="S31" s="136">
        <v>13852.64</v>
      </c>
      <c r="T31" s="77">
        <f t="shared" si="9"/>
        <v>1547.3600000000006</v>
      </c>
      <c r="U31" s="78">
        <f t="shared" si="10"/>
        <v>2.6706549277719155E-3</v>
      </c>
    </row>
    <row r="32" spans="1:21" s="65" customFormat="1" ht="17.100000000000001" customHeight="1" x14ac:dyDescent="0.2">
      <c r="A32" s="88" t="s">
        <v>42</v>
      </c>
      <c r="B32" s="72" t="s">
        <v>111</v>
      </c>
      <c r="C32" s="77">
        <v>42629.35</v>
      </c>
      <c r="D32" s="77"/>
      <c r="E32" s="77"/>
      <c r="F32" s="77"/>
      <c r="G32" s="77"/>
      <c r="H32" s="77">
        <v>25000</v>
      </c>
      <c r="I32" s="77"/>
      <c r="J32" s="77"/>
      <c r="K32" s="77"/>
      <c r="L32" s="161"/>
      <c r="M32" s="161"/>
      <c r="N32" s="161"/>
      <c r="O32" s="161"/>
      <c r="P32" s="161"/>
      <c r="Q32" s="161"/>
      <c r="R32" s="77">
        <f t="shared" si="8"/>
        <v>67629.350000000006</v>
      </c>
      <c r="S32" s="136">
        <v>46361.99</v>
      </c>
      <c r="T32" s="77">
        <f t="shared" si="9"/>
        <v>21267.360000000008</v>
      </c>
      <c r="U32" s="78">
        <f t="shared" si="10"/>
        <v>8.9381429860887346E-3</v>
      </c>
    </row>
    <row r="33" spans="1:23" s="65" customFormat="1" ht="17.100000000000001" customHeight="1" x14ac:dyDescent="0.2">
      <c r="A33" s="88" t="s">
        <v>43</v>
      </c>
      <c r="B33" s="72" t="s">
        <v>234</v>
      </c>
      <c r="C33" s="77">
        <v>89741</v>
      </c>
      <c r="D33" s="77"/>
      <c r="E33" s="77"/>
      <c r="F33" s="77"/>
      <c r="G33" s="77"/>
      <c r="H33" s="77">
        <v>3500</v>
      </c>
      <c r="I33" s="77"/>
      <c r="J33" s="77"/>
      <c r="K33" s="77"/>
      <c r="L33" s="161"/>
      <c r="M33" s="161"/>
      <c r="N33" s="161"/>
      <c r="O33" s="161"/>
      <c r="P33" s="161"/>
      <c r="Q33" s="161"/>
      <c r="R33" s="77">
        <f t="shared" si="8"/>
        <v>93241</v>
      </c>
      <c r="S33" s="136">
        <v>69343.02</v>
      </c>
      <c r="T33" s="77">
        <f t="shared" si="9"/>
        <v>23897.979999999996</v>
      </c>
      <c r="U33" s="78">
        <f t="shared" si="10"/>
        <v>1.3368663162370963E-2</v>
      </c>
    </row>
    <row r="34" spans="1:23" ht="17.100000000000001" customHeight="1" x14ac:dyDescent="0.2">
      <c r="A34" s="88" t="s">
        <v>44</v>
      </c>
      <c r="B34" s="72" t="s">
        <v>235</v>
      </c>
      <c r="C34" s="77">
        <v>7478.416666666667</v>
      </c>
      <c r="D34" s="77"/>
      <c r="E34" s="77"/>
      <c r="F34" s="77"/>
      <c r="G34" s="77"/>
      <c r="H34" s="77">
        <v>2000</v>
      </c>
      <c r="I34" s="77"/>
      <c r="J34" s="77"/>
      <c r="K34" s="77"/>
      <c r="L34" s="161"/>
      <c r="M34" s="161"/>
      <c r="N34" s="161"/>
      <c r="O34" s="161"/>
      <c r="P34" s="161"/>
      <c r="Q34" s="161"/>
      <c r="R34" s="77">
        <f t="shared" si="8"/>
        <v>9478.4166666666679</v>
      </c>
      <c r="S34" s="136">
        <v>6498.8600000000006</v>
      </c>
      <c r="T34" s="77">
        <f t="shared" si="9"/>
        <v>2979.5566666666673</v>
      </c>
      <c r="U34" s="78">
        <f t="shared" si="10"/>
        <v>1.2529173127937918E-3</v>
      </c>
      <c r="V34" s="65"/>
      <c r="W34" s="65"/>
    </row>
    <row r="35" spans="1:23" ht="17.100000000000001" customHeight="1" x14ac:dyDescent="0.2">
      <c r="A35" s="88" t="s">
        <v>45</v>
      </c>
      <c r="B35" s="72" t="s">
        <v>46</v>
      </c>
      <c r="C35" s="77">
        <v>64432.876666666663</v>
      </c>
      <c r="D35" s="77"/>
      <c r="E35" s="77"/>
      <c r="F35" s="77"/>
      <c r="G35" s="77"/>
      <c r="H35" s="77">
        <v>12000</v>
      </c>
      <c r="I35" s="77"/>
      <c r="J35" s="77"/>
      <c r="K35" s="77"/>
      <c r="L35" s="161"/>
      <c r="M35" s="161"/>
      <c r="N35" s="161"/>
      <c r="O35" s="161"/>
      <c r="P35" s="161"/>
      <c r="Q35" s="161"/>
      <c r="R35" s="77">
        <f t="shared" si="8"/>
        <v>76432.876666666663</v>
      </c>
      <c r="S35" s="136">
        <v>2656.18</v>
      </c>
      <c r="T35" s="77">
        <f t="shared" si="9"/>
        <v>73776.69666666667</v>
      </c>
      <c r="U35" s="78">
        <f t="shared" si="10"/>
        <v>5.1208579780093948E-4</v>
      </c>
      <c r="V35" s="65"/>
      <c r="W35" s="65"/>
    </row>
    <row r="36" spans="1:23" ht="17.100000000000001" customHeight="1" x14ac:dyDescent="0.2">
      <c r="A36" s="88" t="s">
        <v>47</v>
      </c>
      <c r="B36" s="72" t="s">
        <v>114</v>
      </c>
      <c r="C36" s="77">
        <v>64432.876666666663</v>
      </c>
      <c r="D36" s="77"/>
      <c r="E36" s="77"/>
      <c r="F36" s="77"/>
      <c r="G36" s="77"/>
      <c r="H36" s="77">
        <v>6000</v>
      </c>
      <c r="I36" s="77"/>
      <c r="J36" s="77"/>
      <c r="K36" s="77"/>
      <c r="L36" s="161"/>
      <c r="M36" s="161"/>
      <c r="N36" s="161"/>
      <c r="O36" s="161"/>
      <c r="P36" s="161"/>
      <c r="Q36" s="161"/>
      <c r="R36" s="77">
        <f t="shared" si="8"/>
        <v>70432.876666666663</v>
      </c>
      <c r="S36" s="136">
        <v>63540.950000000004</v>
      </c>
      <c r="T36" s="77">
        <f t="shared" si="9"/>
        <v>6891.926666666659</v>
      </c>
      <c r="U36" s="78">
        <f t="shared" si="10"/>
        <v>1.2250080218125129E-2</v>
      </c>
      <c r="V36" s="65"/>
      <c r="W36" s="65"/>
    </row>
    <row r="37" spans="1:23" ht="17.100000000000001" customHeight="1" x14ac:dyDescent="0.2">
      <c r="A37" s="88" t="s">
        <v>48</v>
      </c>
      <c r="B37" s="72" t="s">
        <v>49</v>
      </c>
      <c r="C37" s="77">
        <v>4000</v>
      </c>
      <c r="D37" s="77"/>
      <c r="E37" s="77"/>
      <c r="F37" s="77"/>
      <c r="G37" s="77"/>
      <c r="H37" s="77">
        <v>5500</v>
      </c>
      <c r="I37" s="77"/>
      <c r="J37" s="77"/>
      <c r="K37" s="77"/>
      <c r="L37" s="161"/>
      <c r="M37" s="161"/>
      <c r="N37" s="161"/>
      <c r="O37" s="161"/>
      <c r="P37" s="161"/>
      <c r="Q37" s="161"/>
      <c r="R37" s="77">
        <f t="shared" si="8"/>
        <v>9500</v>
      </c>
      <c r="S37" s="136">
        <v>234.52</v>
      </c>
      <c r="T37" s="77">
        <f t="shared" si="9"/>
        <v>9265.48</v>
      </c>
      <c r="U37" s="78">
        <f t="shared" si="10"/>
        <v>4.5213186342897068E-5</v>
      </c>
      <c r="V37" s="65"/>
      <c r="W37" s="65"/>
    </row>
    <row r="38" spans="1:23" ht="17.100000000000001" customHeight="1" x14ac:dyDescent="0.2">
      <c r="A38" s="88"/>
      <c r="B38" s="72"/>
      <c r="C38" s="77"/>
      <c r="D38" s="77"/>
      <c r="E38" s="77"/>
      <c r="F38" s="77"/>
      <c r="G38" s="77"/>
      <c r="H38" s="77"/>
      <c r="I38" s="77"/>
      <c r="J38" s="77"/>
      <c r="K38" s="77"/>
      <c r="L38" s="161"/>
      <c r="M38" s="161"/>
      <c r="N38" s="161"/>
      <c r="O38" s="161"/>
      <c r="P38" s="161"/>
      <c r="Q38" s="161"/>
      <c r="R38" s="77"/>
      <c r="S38" s="136"/>
      <c r="T38" s="77"/>
      <c r="U38" s="78"/>
      <c r="V38" s="65"/>
      <c r="W38" s="65"/>
    </row>
    <row r="39" spans="1:23" ht="17.100000000000001" customHeight="1" x14ac:dyDescent="0.2">
      <c r="A39" s="88"/>
      <c r="B39" s="72"/>
      <c r="C39" s="77"/>
      <c r="D39" s="77"/>
      <c r="E39" s="77"/>
      <c r="F39" s="77"/>
      <c r="G39" s="77"/>
      <c r="H39" s="77"/>
      <c r="I39" s="77"/>
      <c r="J39" s="77"/>
      <c r="K39" s="77"/>
      <c r="L39" s="161"/>
      <c r="M39" s="161"/>
      <c r="N39" s="161"/>
      <c r="O39" s="161"/>
      <c r="P39" s="161"/>
      <c r="Q39" s="161"/>
      <c r="R39" s="77"/>
      <c r="S39" s="136"/>
      <c r="T39" s="77"/>
      <c r="U39" s="78"/>
      <c r="V39" s="65"/>
      <c r="W39" s="65"/>
    </row>
    <row r="40" spans="1:23" ht="17.100000000000001" customHeight="1" x14ac:dyDescent="0.25">
      <c r="A40" s="86">
        <v>1</v>
      </c>
      <c r="B40" s="87" t="s">
        <v>50</v>
      </c>
      <c r="C40" s="77"/>
      <c r="D40" s="77"/>
      <c r="E40" s="77"/>
      <c r="F40" s="77"/>
      <c r="G40" s="77"/>
      <c r="H40" s="77"/>
      <c r="I40" s="77"/>
      <c r="J40" s="77"/>
      <c r="K40" s="77"/>
      <c r="L40" s="161"/>
      <c r="M40" s="161"/>
      <c r="N40" s="161"/>
      <c r="O40" s="161"/>
      <c r="P40" s="161"/>
      <c r="Q40" s="161"/>
      <c r="R40" s="77"/>
      <c r="S40" s="136"/>
      <c r="T40" s="77"/>
      <c r="U40" s="78"/>
      <c r="V40" s="65"/>
      <c r="W40" s="65"/>
    </row>
    <row r="41" spans="1:23" ht="17.100000000000001" customHeight="1" x14ac:dyDescent="0.2">
      <c r="A41" s="88" t="s">
        <v>115</v>
      </c>
      <c r="B41" s="72" t="s">
        <v>51</v>
      </c>
      <c r="C41" s="77">
        <v>11723.320000000002</v>
      </c>
      <c r="D41" s="77"/>
      <c r="E41" s="77"/>
      <c r="F41" s="77"/>
      <c r="G41" s="77"/>
      <c r="H41" s="77"/>
      <c r="I41" s="77"/>
      <c r="J41" s="77"/>
      <c r="K41" s="77"/>
      <c r="L41" s="161"/>
      <c r="M41" s="161"/>
      <c r="N41" s="161"/>
      <c r="O41" s="161"/>
      <c r="P41" s="161"/>
      <c r="Q41" s="161"/>
      <c r="R41" s="77">
        <f t="shared" ref="R41:R45" si="11">C41+D41-E41+F41-G41+H41-I41+J41-K41</f>
        <v>11723.320000000002</v>
      </c>
      <c r="S41" s="136">
        <v>7975.96</v>
      </c>
      <c r="T41" s="77">
        <f t="shared" si="9"/>
        <v>3747.3600000000015</v>
      </c>
      <c r="U41" s="78">
        <f t="shared" ref="U41:U74" si="12">S41/$S$127</f>
        <v>1.5376878975929271E-3</v>
      </c>
      <c r="V41" s="65"/>
      <c r="W41" s="65"/>
    </row>
    <row r="42" spans="1:23" ht="17.100000000000001" customHeight="1" x14ac:dyDescent="0.2">
      <c r="A42" s="88" t="s">
        <v>116</v>
      </c>
      <c r="B42" s="72" t="s">
        <v>52</v>
      </c>
      <c r="C42" s="77">
        <v>24780</v>
      </c>
      <c r="D42" s="77"/>
      <c r="E42" s="77"/>
      <c r="F42" s="77"/>
      <c r="G42" s="77"/>
      <c r="H42" s="77"/>
      <c r="I42" s="77"/>
      <c r="J42" s="77"/>
      <c r="K42" s="77"/>
      <c r="L42" s="161"/>
      <c r="M42" s="161"/>
      <c r="N42" s="161"/>
      <c r="O42" s="161"/>
      <c r="P42" s="161"/>
      <c r="Q42" s="161"/>
      <c r="R42" s="77">
        <f t="shared" si="11"/>
        <v>24780</v>
      </c>
      <c r="S42" s="136">
        <v>20333.5</v>
      </c>
      <c r="T42" s="77">
        <f t="shared" si="9"/>
        <v>4446.5</v>
      </c>
      <c r="U42" s="78">
        <f t="shared" si="12"/>
        <v>3.9201020147675994E-3</v>
      </c>
      <c r="V42" s="65"/>
      <c r="W42" s="65"/>
    </row>
    <row r="43" spans="1:23" ht="17.100000000000001" customHeight="1" x14ac:dyDescent="0.2">
      <c r="A43" s="88" t="s">
        <v>117</v>
      </c>
      <c r="B43" s="72" t="s">
        <v>53</v>
      </c>
      <c r="C43" s="77">
        <v>2500</v>
      </c>
      <c r="D43" s="77"/>
      <c r="E43" s="77"/>
      <c r="F43" s="77"/>
      <c r="G43" s="77"/>
      <c r="H43" s="77"/>
      <c r="I43" s="77"/>
      <c r="J43" s="77"/>
      <c r="K43" s="77"/>
      <c r="L43" s="161"/>
      <c r="M43" s="161"/>
      <c r="N43" s="161"/>
      <c r="O43" s="161"/>
      <c r="P43" s="161"/>
      <c r="Q43" s="161"/>
      <c r="R43" s="77">
        <f t="shared" si="11"/>
        <v>2500</v>
      </c>
      <c r="S43" s="136">
        <v>226</v>
      </c>
      <c r="T43" s="77">
        <f t="shared" si="9"/>
        <v>2274</v>
      </c>
      <c r="U43" s="78">
        <f t="shared" si="12"/>
        <v>4.3570612798459564E-5</v>
      </c>
      <c r="V43" s="65"/>
      <c r="W43" s="65"/>
    </row>
    <row r="44" spans="1:23" ht="17.100000000000001" customHeight="1" x14ac:dyDescent="0.2">
      <c r="A44" s="88" t="s">
        <v>118</v>
      </c>
      <c r="B44" s="72" t="s">
        <v>54</v>
      </c>
      <c r="C44" s="77">
        <v>4464</v>
      </c>
      <c r="D44" s="77">
        <v>1200</v>
      </c>
      <c r="E44" s="77"/>
      <c r="F44" s="77">
        <v>4500</v>
      </c>
      <c r="G44" s="77"/>
      <c r="H44" s="77"/>
      <c r="I44" s="77"/>
      <c r="J44" s="77"/>
      <c r="K44" s="77"/>
      <c r="L44" s="161"/>
      <c r="M44" s="161"/>
      <c r="N44" s="161"/>
      <c r="O44" s="161"/>
      <c r="P44" s="161"/>
      <c r="Q44" s="161"/>
      <c r="R44" s="77">
        <f t="shared" si="11"/>
        <v>10164</v>
      </c>
      <c r="S44" s="136">
        <v>7919.04</v>
      </c>
      <c r="T44" s="77">
        <v>7519.04</v>
      </c>
      <c r="U44" s="78">
        <f t="shared" si="12"/>
        <v>1.5267142724580231E-3</v>
      </c>
      <c r="V44" s="65"/>
      <c r="W44" s="65"/>
    </row>
    <row r="45" spans="1:23" ht="17.100000000000001" customHeight="1" x14ac:dyDescent="0.2">
      <c r="A45" s="88" t="s">
        <v>119</v>
      </c>
      <c r="B45" s="72" t="s">
        <v>120</v>
      </c>
      <c r="C45" s="77">
        <v>12200</v>
      </c>
      <c r="D45" s="77"/>
      <c r="E45" s="77"/>
      <c r="F45" s="77">
        <v>3500</v>
      </c>
      <c r="G45" s="77"/>
      <c r="H45" s="77"/>
      <c r="I45" s="77"/>
      <c r="J45" s="77"/>
      <c r="K45" s="77"/>
      <c r="L45" s="161"/>
      <c r="M45" s="161"/>
      <c r="N45" s="161"/>
      <c r="O45" s="161"/>
      <c r="P45" s="161"/>
      <c r="Q45" s="161"/>
      <c r="R45" s="77">
        <f t="shared" si="11"/>
        <v>15700</v>
      </c>
      <c r="S45" s="136">
        <v>13477</v>
      </c>
      <c r="T45" s="77">
        <v>13248.5</v>
      </c>
      <c r="U45" s="78">
        <f t="shared" si="12"/>
        <v>2.5982351711718562E-3</v>
      </c>
      <c r="V45" s="65"/>
      <c r="W45" s="65"/>
    </row>
    <row r="46" spans="1:23" ht="17.100000000000001" customHeight="1" x14ac:dyDescent="0.2">
      <c r="A46" s="88" t="s">
        <v>121</v>
      </c>
      <c r="B46" s="72" t="s">
        <v>122</v>
      </c>
      <c r="C46" s="77">
        <v>1218400</v>
      </c>
      <c r="D46" s="77">
        <v>64062.78</v>
      </c>
      <c r="E46" s="77"/>
      <c r="F46" s="77"/>
      <c r="G46" s="77"/>
      <c r="H46" s="77">
        <v>77500</v>
      </c>
      <c r="I46" s="77"/>
      <c r="J46" s="77">
        <v>100000</v>
      </c>
      <c r="K46" s="77"/>
      <c r="L46" s="161">
        <v>208000</v>
      </c>
      <c r="M46" s="161"/>
      <c r="N46" s="161"/>
      <c r="O46" s="161"/>
      <c r="P46" s="161"/>
      <c r="Q46" s="161"/>
      <c r="R46" s="77">
        <f>C46+D46-E46+F46-G46+H46-I46+J46-K46+L46</f>
        <v>1667962.78</v>
      </c>
      <c r="S46" s="136">
        <v>1510160.53</v>
      </c>
      <c r="T46" s="77">
        <f t="shared" si="9"/>
        <v>157802.25</v>
      </c>
      <c r="U46" s="78">
        <f t="shared" si="12"/>
        <v>0.29114433502719678</v>
      </c>
      <c r="V46" s="65"/>
      <c r="W46" s="97"/>
    </row>
    <row r="47" spans="1:23" ht="17.100000000000001" customHeight="1" x14ac:dyDescent="0.2">
      <c r="A47" s="88" t="s">
        <v>123</v>
      </c>
      <c r="B47" s="72" t="s">
        <v>124</v>
      </c>
      <c r="C47" s="77">
        <v>0</v>
      </c>
      <c r="D47" s="77"/>
      <c r="E47" s="77"/>
      <c r="F47" s="77"/>
      <c r="G47" s="77"/>
      <c r="H47" s="77"/>
      <c r="I47" s="77"/>
      <c r="J47" s="77"/>
      <c r="K47" s="77"/>
      <c r="L47" s="161"/>
      <c r="M47" s="161"/>
      <c r="N47" s="161"/>
      <c r="O47" s="161"/>
      <c r="P47" s="161"/>
      <c r="Q47" s="161"/>
      <c r="R47" s="77">
        <v>0</v>
      </c>
      <c r="S47" s="136">
        <v>0</v>
      </c>
      <c r="T47" s="77">
        <f t="shared" si="9"/>
        <v>0</v>
      </c>
      <c r="U47" s="78">
        <f t="shared" si="12"/>
        <v>0</v>
      </c>
      <c r="V47" s="65"/>
      <c r="W47" s="65"/>
    </row>
    <row r="48" spans="1:23" ht="17.100000000000001" customHeight="1" x14ac:dyDescent="0.2">
      <c r="A48" s="88" t="s">
        <v>125</v>
      </c>
      <c r="B48" s="72" t="s">
        <v>126</v>
      </c>
      <c r="C48" s="77">
        <v>0</v>
      </c>
      <c r="D48" s="77"/>
      <c r="E48" s="77"/>
      <c r="F48" s="77"/>
      <c r="G48" s="77"/>
      <c r="H48" s="77"/>
      <c r="I48" s="77"/>
      <c r="J48" s="77"/>
      <c r="K48" s="77"/>
      <c r="L48" s="161"/>
      <c r="M48" s="161"/>
      <c r="N48" s="161"/>
      <c r="O48" s="161"/>
      <c r="P48" s="161"/>
      <c r="Q48" s="161"/>
      <c r="R48" s="77">
        <v>0</v>
      </c>
      <c r="S48" s="136">
        <v>0</v>
      </c>
      <c r="T48" s="77">
        <f t="shared" si="9"/>
        <v>0</v>
      </c>
      <c r="U48" s="78">
        <f t="shared" si="12"/>
        <v>0</v>
      </c>
      <c r="V48" s="65"/>
      <c r="W48" s="65"/>
    </row>
    <row r="49" spans="1:23" ht="17.100000000000001" customHeight="1" x14ac:dyDescent="0.2">
      <c r="A49" s="88" t="s">
        <v>127</v>
      </c>
      <c r="B49" s="72" t="s">
        <v>55</v>
      </c>
      <c r="C49" s="77">
        <v>104664</v>
      </c>
      <c r="D49" s="77">
        <v>13644</v>
      </c>
      <c r="E49" s="77"/>
      <c r="F49" s="77"/>
      <c r="G49" s="77"/>
      <c r="H49" s="77"/>
      <c r="I49" s="77"/>
      <c r="J49" s="77"/>
      <c r="K49" s="77"/>
      <c r="L49" s="161"/>
      <c r="M49" s="161">
        <v>50000</v>
      </c>
      <c r="N49" s="161">
        <v>50000</v>
      </c>
      <c r="O49" s="161"/>
      <c r="P49" s="161">
        <v>50000</v>
      </c>
      <c r="Q49" s="161"/>
      <c r="R49" s="77">
        <f>C49+D49-E49+F49-G49+H49-I49+J49-K49+L49+M49+N49</f>
        <v>218308</v>
      </c>
      <c r="S49" s="136">
        <v>165549.23000000001</v>
      </c>
      <c r="T49" s="77">
        <f>R49-S49</f>
        <v>52758.76999999999</v>
      </c>
      <c r="U49" s="78">
        <f t="shared" si="12"/>
        <v>3.1916289377934184E-2</v>
      </c>
      <c r="V49" s="65"/>
      <c r="W49" s="65"/>
    </row>
    <row r="50" spans="1:23" ht="17.100000000000001" customHeight="1" x14ac:dyDescent="0.2">
      <c r="A50" s="88" t="s">
        <v>128</v>
      </c>
      <c r="B50" s="72" t="s">
        <v>237</v>
      </c>
      <c r="C50" s="77">
        <v>459374.84</v>
      </c>
      <c r="D50" s="77">
        <v>11548.31</v>
      </c>
      <c r="E50" s="77"/>
      <c r="F50" s="77"/>
      <c r="G50" s="77"/>
      <c r="H50" s="77"/>
      <c r="I50" s="77"/>
      <c r="J50" s="77"/>
      <c r="K50" s="77"/>
      <c r="L50" s="161"/>
      <c r="M50" s="161">
        <v>40000</v>
      </c>
      <c r="N50" s="161">
        <v>20000</v>
      </c>
      <c r="O50" s="161"/>
      <c r="P50" s="161">
        <v>20000</v>
      </c>
      <c r="Q50" s="161"/>
      <c r="R50" s="77">
        <f>C50+D50-E50+F50-G50+H50-I50+J50-K50+L50-M50+N50</f>
        <v>450923.15</v>
      </c>
      <c r="S50" s="136">
        <v>418619.09</v>
      </c>
      <c r="T50" s="77">
        <f t="shared" si="9"/>
        <v>32304.059999999998</v>
      </c>
      <c r="U50" s="78">
        <f t="shared" si="12"/>
        <v>8.0705709205457943E-2</v>
      </c>
      <c r="V50" s="65"/>
      <c r="W50" s="65"/>
    </row>
    <row r="51" spans="1:23" ht="17.100000000000001" customHeight="1" x14ac:dyDescent="0.2">
      <c r="A51" s="88" t="s">
        <v>130</v>
      </c>
      <c r="B51" s="72" t="s">
        <v>56</v>
      </c>
      <c r="C51" s="77">
        <v>9000</v>
      </c>
      <c r="D51" s="77"/>
      <c r="E51" s="77"/>
      <c r="F51" s="77"/>
      <c r="G51" s="77"/>
      <c r="H51" s="77">
        <v>7500</v>
      </c>
      <c r="I51" s="77"/>
      <c r="J51" s="77"/>
      <c r="K51" s="77"/>
      <c r="L51" s="161"/>
      <c r="M51" s="161">
        <v>5000</v>
      </c>
      <c r="N51" s="161"/>
      <c r="O51" s="161"/>
      <c r="P51" s="161"/>
      <c r="Q51" s="161"/>
      <c r="R51" s="77">
        <f>C51+D51-E51+F51-G51+H51-I51+J51-K51-M51</f>
        <v>11500</v>
      </c>
      <c r="S51" s="136">
        <v>9488.19</v>
      </c>
      <c r="T51" s="77">
        <f t="shared" si="9"/>
        <v>2011.8099999999995</v>
      </c>
      <c r="U51" s="78">
        <f t="shared" si="12"/>
        <v>1.8292312064080356E-3</v>
      </c>
      <c r="V51" s="65"/>
      <c r="W51" s="65"/>
    </row>
    <row r="52" spans="1:23" ht="17.100000000000001" customHeight="1" x14ac:dyDescent="0.2">
      <c r="A52" s="88" t="s">
        <v>131</v>
      </c>
      <c r="B52" s="72" t="s">
        <v>57</v>
      </c>
      <c r="C52" s="77">
        <v>25000</v>
      </c>
      <c r="D52" s="77"/>
      <c r="E52" s="77"/>
      <c r="F52" s="77">
        <v>27000</v>
      </c>
      <c r="G52" s="77"/>
      <c r="H52" s="77">
        <v>35000</v>
      </c>
      <c r="I52" s="77"/>
      <c r="J52" s="77"/>
      <c r="K52" s="77"/>
      <c r="L52" s="161"/>
      <c r="M52" s="161">
        <v>35000</v>
      </c>
      <c r="N52" s="161"/>
      <c r="O52" s="161"/>
      <c r="P52" s="161"/>
      <c r="Q52" s="161"/>
      <c r="R52" s="77">
        <f>C52+D52-E52+F52-G52+H52-I52+J52-K52-M52</f>
        <v>52000</v>
      </c>
      <c r="S52" s="136">
        <v>46209.279999999999</v>
      </c>
      <c r="T52" s="77">
        <f t="shared" si="9"/>
        <v>5790.7200000000012</v>
      </c>
      <c r="U52" s="78">
        <f t="shared" si="12"/>
        <v>8.9087019759982369E-3</v>
      </c>
      <c r="V52" s="65"/>
      <c r="W52" s="65"/>
    </row>
    <row r="53" spans="1:23" ht="17.100000000000001" customHeight="1" x14ac:dyDescent="0.2">
      <c r="A53" s="88" t="s">
        <v>132</v>
      </c>
      <c r="B53" s="72" t="s">
        <v>133</v>
      </c>
      <c r="C53" s="77">
        <v>70560</v>
      </c>
      <c r="D53" s="77"/>
      <c r="E53" s="77"/>
      <c r="F53" s="77"/>
      <c r="G53" s="77"/>
      <c r="H53" s="77"/>
      <c r="I53" s="77"/>
      <c r="J53" s="77"/>
      <c r="K53" s="77"/>
      <c r="L53" s="161"/>
      <c r="M53" s="161"/>
      <c r="N53" s="161"/>
      <c r="O53" s="161"/>
      <c r="P53" s="161"/>
      <c r="Q53" s="161"/>
      <c r="R53" s="77">
        <f t="shared" ref="R53:R61" si="13">C53+D53-E53+F53-G53+H53-I53+J53-K53</f>
        <v>70560</v>
      </c>
      <c r="S53" s="136">
        <v>64680</v>
      </c>
      <c r="T53" s="77">
        <f t="shared" si="9"/>
        <v>5880</v>
      </c>
      <c r="U53" s="78">
        <f t="shared" si="12"/>
        <v>1.2469678034532587E-2</v>
      </c>
      <c r="V53" s="65"/>
      <c r="W53" s="65"/>
    </row>
    <row r="54" spans="1:23" ht="17.100000000000001" customHeight="1" x14ac:dyDescent="0.2">
      <c r="A54" s="88" t="s">
        <v>134</v>
      </c>
      <c r="B54" s="72" t="s">
        <v>58</v>
      </c>
      <c r="C54" s="77">
        <v>35200</v>
      </c>
      <c r="D54" s="77"/>
      <c r="E54" s="77"/>
      <c r="F54" s="77"/>
      <c r="G54" s="77"/>
      <c r="H54" s="77"/>
      <c r="I54" s="77"/>
      <c r="J54" s="77"/>
      <c r="K54" s="77"/>
      <c r="L54" s="161"/>
      <c r="M54" s="161"/>
      <c r="N54" s="161"/>
      <c r="O54" s="161"/>
      <c r="P54" s="161"/>
      <c r="Q54" s="161"/>
      <c r="R54" s="77">
        <f t="shared" si="13"/>
        <v>35200</v>
      </c>
      <c r="S54" s="136">
        <v>28875</v>
      </c>
      <c r="T54" s="77">
        <f t="shared" si="9"/>
        <v>6325</v>
      </c>
      <c r="U54" s="78">
        <f t="shared" si="12"/>
        <v>5.5668205511306187E-3</v>
      </c>
      <c r="V54" s="65"/>
      <c r="W54" s="65"/>
    </row>
    <row r="55" spans="1:23" ht="17.100000000000001" customHeight="1" x14ac:dyDescent="0.2">
      <c r="A55" s="88" t="s">
        <v>135</v>
      </c>
      <c r="B55" s="72" t="s">
        <v>59</v>
      </c>
      <c r="C55" s="77">
        <v>6550</v>
      </c>
      <c r="D55" s="77"/>
      <c r="E55" s="77"/>
      <c r="F55" s="77"/>
      <c r="G55" s="77"/>
      <c r="H55" s="77"/>
      <c r="I55" s="77"/>
      <c r="J55" s="77"/>
      <c r="K55" s="77"/>
      <c r="L55" s="161"/>
      <c r="M55" s="161"/>
      <c r="N55" s="161"/>
      <c r="O55" s="161"/>
      <c r="P55" s="161"/>
      <c r="Q55" s="161"/>
      <c r="R55" s="77">
        <f t="shared" si="13"/>
        <v>6550</v>
      </c>
      <c r="S55" s="136">
        <v>3335</v>
      </c>
      <c r="T55" s="77">
        <f t="shared" si="9"/>
        <v>3215</v>
      </c>
      <c r="U55" s="78">
        <f t="shared" si="12"/>
        <v>6.4295572426045419E-4</v>
      </c>
      <c r="V55" s="65"/>
      <c r="W55" s="65"/>
    </row>
    <row r="56" spans="1:23" ht="17.100000000000001" customHeight="1" x14ac:dyDescent="0.2">
      <c r="A56" s="88" t="s">
        <v>136</v>
      </c>
      <c r="B56" s="72" t="s">
        <v>137</v>
      </c>
      <c r="C56" s="77">
        <v>2000</v>
      </c>
      <c r="D56" s="77"/>
      <c r="E56" s="77"/>
      <c r="F56" s="77"/>
      <c r="G56" s="77"/>
      <c r="H56" s="77"/>
      <c r="I56" s="77"/>
      <c r="J56" s="77"/>
      <c r="K56" s="77"/>
      <c r="L56" s="161"/>
      <c r="M56" s="161"/>
      <c r="N56" s="161"/>
      <c r="O56" s="161"/>
      <c r="P56" s="161"/>
      <c r="Q56" s="161"/>
      <c r="R56" s="77">
        <f t="shared" si="13"/>
        <v>2000</v>
      </c>
      <c r="S56" s="136">
        <v>945</v>
      </c>
      <c r="T56" s="77">
        <f t="shared" si="9"/>
        <v>1055</v>
      </c>
      <c r="U56" s="78">
        <f t="shared" si="12"/>
        <v>1.8218685440063844E-4</v>
      </c>
      <c r="V56" s="65"/>
      <c r="W56" s="65"/>
    </row>
    <row r="57" spans="1:23" ht="17.100000000000001" customHeight="1" x14ac:dyDescent="0.2">
      <c r="A57" s="88" t="s">
        <v>138</v>
      </c>
      <c r="B57" s="72" t="s">
        <v>139</v>
      </c>
      <c r="C57" s="77">
        <v>10000</v>
      </c>
      <c r="D57" s="77"/>
      <c r="E57" s="77"/>
      <c r="F57" s="77"/>
      <c r="G57" s="77"/>
      <c r="H57" s="77"/>
      <c r="I57" s="77"/>
      <c r="J57" s="77">
        <v>35000</v>
      </c>
      <c r="K57" s="77"/>
      <c r="L57" s="161"/>
      <c r="M57" s="161"/>
      <c r="N57" s="161"/>
      <c r="O57" s="161"/>
      <c r="P57" s="161"/>
      <c r="Q57" s="161"/>
      <c r="R57" s="77">
        <f t="shared" si="13"/>
        <v>45000</v>
      </c>
      <c r="S57" s="136">
        <v>23695</v>
      </c>
      <c r="T57" s="77">
        <f t="shared" si="9"/>
        <v>21305</v>
      </c>
      <c r="U57" s="78">
        <f t="shared" si="12"/>
        <v>4.5681666825641565E-3</v>
      </c>
      <c r="V57" s="65"/>
      <c r="W57" s="65"/>
    </row>
    <row r="58" spans="1:23" ht="17.100000000000001" customHeight="1" x14ac:dyDescent="0.2">
      <c r="A58" s="88" t="s">
        <v>140</v>
      </c>
      <c r="B58" s="72" t="s">
        <v>141</v>
      </c>
      <c r="C58" s="77">
        <v>6900</v>
      </c>
      <c r="D58" s="77"/>
      <c r="E58" s="77"/>
      <c r="F58" s="77">
        <v>850</v>
      </c>
      <c r="G58" s="77"/>
      <c r="H58" s="77"/>
      <c r="I58" s="77"/>
      <c r="J58" s="77"/>
      <c r="K58" s="77"/>
      <c r="L58" s="161"/>
      <c r="M58" s="161"/>
      <c r="N58" s="161"/>
      <c r="O58" s="161"/>
      <c r="P58" s="161"/>
      <c r="Q58" s="161"/>
      <c r="R58" s="77">
        <f t="shared" si="13"/>
        <v>7750</v>
      </c>
      <c r="S58" s="136">
        <v>749.71</v>
      </c>
      <c r="T58" s="77">
        <f t="shared" si="9"/>
        <v>7000.29</v>
      </c>
      <c r="U58" s="78">
        <f t="shared" si="12"/>
        <v>1.4453683239439434E-4</v>
      </c>
      <c r="V58" s="65"/>
      <c r="W58" s="65"/>
    </row>
    <row r="59" spans="1:23" ht="17.100000000000001" customHeight="1" x14ac:dyDescent="0.2">
      <c r="A59" s="88" t="s">
        <v>142</v>
      </c>
      <c r="B59" s="72" t="s">
        <v>143</v>
      </c>
      <c r="C59" s="77">
        <v>3000</v>
      </c>
      <c r="D59" s="77"/>
      <c r="E59" s="77"/>
      <c r="F59" s="77"/>
      <c r="G59" s="77"/>
      <c r="H59" s="77">
        <v>2500</v>
      </c>
      <c r="I59" s="77"/>
      <c r="J59" s="77"/>
      <c r="K59" s="77"/>
      <c r="L59" s="161"/>
      <c r="M59" s="161"/>
      <c r="N59" s="161"/>
      <c r="O59" s="161"/>
      <c r="P59" s="161"/>
      <c r="Q59" s="161"/>
      <c r="R59" s="77">
        <f t="shared" si="13"/>
        <v>5500</v>
      </c>
      <c r="S59" s="136">
        <v>3000</v>
      </c>
      <c r="T59" s="77">
        <f t="shared" si="9"/>
        <v>2500</v>
      </c>
      <c r="U59" s="78">
        <f t="shared" si="12"/>
        <v>5.7837096635123312E-4</v>
      </c>
      <c r="V59" s="65"/>
      <c r="W59" s="65"/>
    </row>
    <row r="60" spans="1:23" ht="17.100000000000001" customHeight="1" x14ac:dyDescent="0.2">
      <c r="A60" s="88" t="s">
        <v>144</v>
      </c>
      <c r="B60" s="72" t="s">
        <v>145</v>
      </c>
      <c r="C60" s="77">
        <v>5000</v>
      </c>
      <c r="D60" s="77">
        <v>250</v>
      </c>
      <c r="E60" s="77"/>
      <c r="F60" s="77">
        <v>12285</v>
      </c>
      <c r="G60" s="77"/>
      <c r="H60" s="77">
        <v>8500</v>
      </c>
      <c r="I60" s="77"/>
      <c r="J60" s="77"/>
      <c r="K60" s="77"/>
      <c r="L60" s="161"/>
      <c r="M60" s="161"/>
      <c r="N60" s="161"/>
      <c r="O60" s="161"/>
      <c r="P60" s="161"/>
      <c r="Q60" s="161"/>
      <c r="R60" s="77">
        <f t="shared" si="13"/>
        <v>26035</v>
      </c>
      <c r="S60" s="136">
        <v>11200</v>
      </c>
      <c r="T60" s="77">
        <f t="shared" si="9"/>
        <v>14835</v>
      </c>
      <c r="U60" s="78">
        <f t="shared" si="12"/>
        <v>2.1592516077112702E-3</v>
      </c>
      <c r="V60" s="65"/>
      <c r="W60" s="65"/>
    </row>
    <row r="61" spans="1:23" ht="17.100000000000001" customHeight="1" x14ac:dyDescent="0.2">
      <c r="A61" s="88" t="s">
        <v>146</v>
      </c>
      <c r="B61" s="72" t="s">
        <v>147</v>
      </c>
      <c r="C61" s="77">
        <v>180000</v>
      </c>
      <c r="D61" s="77"/>
      <c r="E61" s="77"/>
      <c r="F61" s="77"/>
      <c r="G61" s="77"/>
      <c r="H61" s="77"/>
      <c r="I61" s="77"/>
      <c r="J61" s="77"/>
      <c r="K61" s="77"/>
      <c r="L61" s="161"/>
      <c r="M61" s="161"/>
      <c r="N61" s="161"/>
      <c r="O61" s="161"/>
      <c r="P61" s="161"/>
      <c r="Q61" s="161"/>
      <c r="R61" s="77">
        <f t="shared" si="13"/>
        <v>180000</v>
      </c>
      <c r="S61" s="136">
        <v>84000</v>
      </c>
      <c r="T61" s="77">
        <f t="shared" si="9"/>
        <v>96000</v>
      </c>
      <c r="U61" s="78">
        <f t="shared" si="12"/>
        <v>1.6194387057834526E-2</v>
      </c>
      <c r="V61" s="65"/>
      <c r="W61" s="65"/>
    </row>
    <row r="62" spans="1:23" ht="17.100000000000001" customHeight="1" x14ac:dyDescent="0.2">
      <c r="A62" s="88" t="s">
        <v>148</v>
      </c>
      <c r="B62" s="72" t="s">
        <v>149</v>
      </c>
      <c r="C62" s="77">
        <v>0</v>
      </c>
      <c r="D62" s="77"/>
      <c r="E62" s="77"/>
      <c r="F62" s="77"/>
      <c r="G62" s="77"/>
      <c r="H62" s="77"/>
      <c r="I62" s="77"/>
      <c r="J62" s="77"/>
      <c r="K62" s="77"/>
      <c r="L62" s="161"/>
      <c r="M62" s="161"/>
      <c r="N62" s="161"/>
      <c r="O62" s="161"/>
      <c r="P62" s="161"/>
      <c r="Q62" s="161"/>
      <c r="R62" s="77">
        <v>0</v>
      </c>
      <c r="S62" s="136">
        <v>0</v>
      </c>
      <c r="T62" s="77">
        <f t="shared" si="9"/>
        <v>0</v>
      </c>
      <c r="U62" s="78">
        <f t="shared" si="12"/>
        <v>0</v>
      </c>
      <c r="V62" s="65"/>
      <c r="W62" s="65"/>
    </row>
    <row r="63" spans="1:23" ht="17.100000000000001" customHeight="1" x14ac:dyDescent="0.2">
      <c r="A63" s="88" t="s">
        <v>150</v>
      </c>
      <c r="B63" s="72" t="s">
        <v>151</v>
      </c>
      <c r="C63" s="77">
        <v>40600</v>
      </c>
      <c r="D63" s="77"/>
      <c r="E63" s="77">
        <v>16600</v>
      </c>
      <c r="F63" s="77"/>
      <c r="G63" s="77"/>
      <c r="H63" s="77"/>
      <c r="I63" s="77"/>
      <c r="J63" s="77"/>
      <c r="K63" s="77"/>
      <c r="L63" s="161"/>
      <c r="M63" s="161"/>
      <c r="N63" s="161"/>
      <c r="O63" s="161"/>
      <c r="P63" s="161"/>
      <c r="Q63" s="161"/>
      <c r="R63" s="77">
        <f t="shared" ref="R63:R74" si="14">C63+D63-E63+F63-G63+H63-I63+J63-K63</f>
        <v>24000</v>
      </c>
      <c r="S63" s="136">
        <v>15075</v>
      </c>
      <c r="T63" s="77">
        <f t="shared" si="9"/>
        <v>8925</v>
      </c>
      <c r="U63" s="78">
        <f t="shared" si="12"/>
        <v>2.9063141059149466E-3</v>
      </c>
      <c r="V63" s="65"/>
      <c r="W63" s="65"/>
    </row>
    <row r="64" spans="1:23" ht="17.100000000000001" customHeight="1" x14ac:dyDescent="0.2">
      <c r="A64" s="88" t="s">
        <v>152</v>
      </c>
      <c r="B64" s="72" t="s">
        <v>153</v>
      </c>
      <c r="C64" s="77">
        <v>60000</v>
      </c>
      <c r="D64" s="77"/>
      <c r="E64" s="77">
        <v>6000</v>
      </c>
      <c r="F64" s="77"/>
      <c r="G64" s="77"/>
      <c r="H64" s="77"/>
      <c r="I64" s="77"/>
      <c r="J64" s="77"/>
      <c r="K64" s="77"/>
      <c r="L64" s="161"/>
      <c r="M64" s="161"/>
      <c r="N64" s="161"/>
      <c r="O64" s="161"/>
      <c r="P64" s="161"/>
      <c r="Q64" s="161"/>
      <c r="R64" s="77">
        <f t="shared" si="14"/>
        <v>54000</v>
      </c>
      <c r="S64" s="136">
        <v>49500</v>
      </c>
      <c r="T64" s="77">
        <f t="shared" si="9"/>
        <v>4500</v>
      </c>
      <c r="U64" s="78">
        <f t="shared" si="12"/>
        <v>9.5431209447953465E-3</v>
      </c>
      <c r="V64" s="65"/>
      <c r="W64" s="65"/>
    </row>
    <row r="65" spans="1:23" ht="17.100000000000001" customHeight="1" x14ac:dyDescent="0.2">
      <c r="A65" s="88" t="s">
        <v>154</v>
      </c>
      <c r="B65" s="72" t="s">
        <v>60</v>
      </c>
      <c r="C65" s="77">
        <v>11300</v>
      </c>
      <c r="D65" s="77"/>
      <c r="E65" s="77"/>
      <c r="F65" s="77">
        <v>10000</v>
      </c>
      <c r="G65" s="77"/>
      <c r="H65" s="77"/>
      <c r="I65" s="77"/>
      <c r="J65" s="77"/>
      <c r="K65" s="77"/>
      <c r="L65" s="161"/>
      <c r="M65" s="161"/>
      <c r="N65" s="161"/>
      <c r="O65" s="161"/>
      <c r="P65" s="161"/>
      <c r="Q65" s="161"/>
      <c r="R65" s="77">
        <f t="shared" si="14"/>
        <v>21300</v>
      </c>
      <c r="S65" s="136">
        <v>5748</v>
      </c>
      <c r="T65" s="77">
        <f t="shared" si="9"/>
        <v>15552</v>
      </c>
      <c r="U65" s="78">
        <f t="shared" si="12"/>
        <v>1.1081587715289626E-3</v>
      </c>
      <c r="V65" s="65"/>
      <c r="W65" s="65"/>
    </row>
    <row r="66" spans="1:23" ht="17.100000000000001" customHeight="1" x14ac:dyDescent="0.2">
      <c r="A66" s="88" t="s">
        <v>155</v>
      </c>
      <c r="B66" s="72" t="s">
        <v>268</v>
      </c>
      <c r="C66" s="77">
        <v>15500</v>
      </c>
      <c r="D66" s="77"/>
      <c r="E66" s="77"/>
      <c r="F66" s="77">
        <v>18000</v>
      </c>
      <c r="G66" s="77"/>
      <c r="H66" s="77"/>
      <c r="I66" s="77"/>
      <c r="J66" s="77"/>
      <c r="K66" s="77"/>
      <c r="L66" s="161"/>
      <c r="M66" s="161"/>
      <c r="N66" s="161"/>
      <c r="O66" s="161"/>
      <c r="P66" s="161"/>
      <c r="Q66" s="161"/>
      <c r="R66" s="77">
        <f t="shared" si="14"/>
        <v>33500</v>
      </c>
      <c r="S66" s="136">
        <v>20635</v>
      </c>
      <c r="T66" s="77">
        <f t="shared" si="9"/>
        <v>12865</v>
      </c>
      <c r="U66" s="78">
        <f t="shared" si="12"/>
        <v>3.9782282968858981E-3</v>
      </c>
      <c r="V66" s="65"/>
      <c r="W66" s="65"/>
    </row>
    <row r="67" spans="1:23" ht="17.100000000000001" customHeight="1" x14ac:dyDescent="0.2">
      <c r="A67" s="88" t="s">
        <v>157</v>
      </c>
      <c r="B67" s="72" t="s">
        <v>61</v>
      </c>
      <c r="C67" s="77">
        <v>24394.959999999995</v>
      </c>
      <c r="D67" s="77"/>
      <c r="E67" s="77">
        <v>3200</v>
      </c>
      <c r="F67" s="77">
        <v>12000</v>
      </c>
      <c r="G67" s="77"/>
      <c r="H67" s="77"/>
      <c r="I67" s="77"/>
      <c r="J67" s="77"/>
      <c r="K67" s="77"/>
      <c r="L67" s="161"/>
      <c r="M67" s="161"/>
      <c r="N67" s="161"/>
      <c r="O67" s="161"/>
      <c r="P67" s="161"/>
      <c r="Q67" s="161"/>
      <c r="R67" s="77">
        <f t="shared" si="14"/>
        <v>33194.959999999992</v>
      </c>
      <c r="S67" s="136">
        <v>28922.1</v>
      </c>
      <c r="T67" s="77">
        <f t="shared" si="9"/>
        <v>4272.8599999999933</v>
      </c>
      <c r="U67" s="78">
        <f t="shared" si="12"/>
        <v>5.5759009753023328E-3</v>
      </c>
      <c r="V67" s="65"/>
      <c r="W67" s="65"/>
    </row>
    <row r="68" spans="1:23" ht="17.100000000000001" customHeight="1" x14ac:dyDescent="0.2">
      <c r="A68" s="88" t="s">
        <v>158</v>
      </c>
      <c r="B68" s="72" t="s">
        <v>62</v>
      </c>
      <c r="C68" s="77">
        <v>80000</v>
      </c>
      <c r="D68" s="77"/>
      <c r="E68" s="77"/>
      <c r="F68" s="77">
        <v>27500</v>
      </c>
      <c r="G68" s="77"/>
      <c r="H68" s="77"/>
      <c r="I68" s="77"/>
      <c r="J68" s="77"/>
      <c r="K68" s="77"/>
      <c r="L68" s="161"/>
      <c r="M68" s="161"/>
      <c r="N68" s="161"/>
      <c r="O68" s="161"/>
      <c r="P68" s="161"/>
      <c r="Q68" s="161"/>
      <c r="R68" s="77">
        <f t="shared" si="14"/>
        <v>107500</v>
      </c>
      <c r="S68" s="136">
        <v>0</v>
      </c>
      <c r="T68" s="77">
        <f t="shared" si="9"/>
        <v>107500</v>
      </c>
      <c r="U68" s="78">
        <f t="shared" si="12"/>
        <v>0</v>
      </c>
      <c r="V68" s="65"/>
      <c r="W68" s="65"/>
    </row>
    <row r="69" spans="1:23" ht="17.100000000000001" customHeight="1" x14ac:dyDescent="0.2">
      <c r="A69" s="88" t="s">
        <v>159</v>
      </c>
      <c r="B69" s="72" t="s">
        <v>238</v>
      </c>
      <c r="C69" s="77">
        <v>244000</v>
      </c>
      <c r="D69" s="77"/>
      <c r="E69" s="77">
        <v>12800</v>
      </c>
      <c r="F69" s="77">
        <v>18000</v>
      </c>
      <c r="G69" s="77"/>
      <c r="H69" s="77"/>
      <c r="I69" s="77"/>
      <c r="J69" s="77"/>
      <c r="K69" s="77"/>
      <c r="L69" s="161"/>
      <c r="M69" s="161"/>
      <c r="N69" s="161"/>
      <c r="O69" s="161"/>
      <c r="P69" s="161"/>
      <c r="Q69" s="161"/>
      <c r="R69" s="77">
        <f t="shared" si="14"/>
        <v>249200</v>
      </c>
      <c r="S69" s="136">
        <v>226838.38</v>
      </c>
      <c r="T69" s="77">
        <f t="shared" si="9"/>
        <v>22361.619999999995</v>
      </c>
      <c r="U69" s="78">
        <f t="shared" si="12"/>
        <v>4.373224434871608E-2</v>
      </c>
      <c r="V69" s="65"/>
      <c r="W69" s="65"/>
    </row>
    <row r="70" spans="1:23" ht="17.100000000000001" customHeight="1" x14ac:dyDescent="0.2">
      <c r="A70" s="88" t="s">
        <v>160</v>
      </c>
      <c r="B70" s="72" t="s">
        <v>64</v>
      </c>
      <c r="C70" s="77">
        <v>11250</v>
      </c>
      <c r="D70" s="77"/>
      <c r="E70" s="77"/>
      <c r="F70" s="77"/>
      <c r="G70" s="77"/>
      <c r="H70" s="77"/>
      <c r="I70" s="77"/>
      <c r="J70" s="77"/>
      <c r="K70" s="77"/>
      <c r="L70" s="161"/>
      <c r="M70" s="161"/>
      <c r="N70" s="161"/>
      <c r="O70" s="161"/>
      <c r="P70" s="161"/>
      <c r="Q70" s="161"/>
      <c r="R70" s="77">
        <f t="shared" si="14"/>
        <v>11250</v>
      </c>
      <c r="S70" s="136">
        <v>7946.8</v>
      </c>
      <c r="T70" s="77">
        <f t="shared" si="9"/>
        <v>3303.2</v>
      </c>
      <c r="U70" s="78">
        <f t="shared" si="12"/>
        <v>1.5320661317999931E-3</v>
      </c>
      <c r="V70" s="65"/>
      <c r="W70" s="65"/>
    </row>
    <row r="71" spans="1:23" ht="17.100000000000001" customHeight="1" x14ac:dyDescent="0.2">
      <c r="A71" s="88" t="s">
        <v>161</v>
      </c>
      <c r="B71" s="72" t="s">
        <v>239</v>
      </c>
      <c r="C71" s="77">
        <v>5000</v>
      </c>
      <c r="D71" s="77"/>
      <c r="E71" s="77"/>
      <c r="F71" s="77"/>
      <c r="G71" s="77"/>
      <c r="H71" s="77"/>
      <c r="I71" s="77"/>
      <c r="J71" s="77"/>
      <c r="K71" s="77"/>
      <c r="L71" s="161"/>
      <c r="M71" s="161"/>
      <c r="N71" s="161"/>
      <c r="O71" s="161"/>
      <c r="P71" s="161"/>
      <c r="Q71" s="161"/>
      <c r="R71" s="77">
        <f t="shared" si="14"/>
        <v>5000</v>
      </c>
      <c r="S71" s="136">
        <v>1463.12</v>
      </c>
      <c r="T71" s="77">
        <f t="shared" si="9"/>
        <v>3536.88</v>
      </c>
      <c r="U71" s="78">
        <f t="shared" si="12"/>
        <v>2.8207537609593869E-4</v>
      </c>
      <c r="V71" s="65"/>
      <c r="W71" s="65"/>
    </row>
    <row r="72" spans="1:23" ht="17.100000000000001" customHeight="1" x14ac:dyDescent="0.2">
      <c r="A72" s="88" t="s">
        <v>163</v>
      </c>
      <c r="B72" s="72" t="s">
        <v>164</v>
      </c>
      <c r="C72" s="77">
        <v>5000</v>
      </c>
      <c r="D72" s="77"/>
      <c r="E72" s="77"/>
      <c r="F72" s="77">
        <v>11500</v>
      </c>
      <c r="G72" s="77"/>
      <c r="H72" s="77">
        <v>25000</v>
      </c>
      <c r="I72" s="77"/>
      <c r="J72" s="77"/>
      <c r="K72" s="77"/>
      <c r="L72" s="161"/>
      <c r="M72" s="161"/>
      <c r="N72" s="161"/>
      <c r="O72" s="161"/>
      <c r="P72" s="161"/>
      <c r="Q72" s="161"/>
      <c r="R72" s="77">
        <f t="shared" si="14"/>
        <v>41500</v>
      </c>
      <c r="S72" s="136">
        <v>36388.54</v>
      </c>
      <c r="T72" s="77">
        <f t="shared" si="9"/>
        <v>5111.4599999999991</v>
      </c>
      <c r="U72" s="78">
        <f t="shared" si="12"/>
        <v>7.0153583479701668E-3</v>
      </c>
      <c r="V72" s="65"/>
      <c r="W72" s="65"/>
    </row>
    <row r="73" spans="1:23" ht="17.100000000000001" customHeight="1" x14ac:dyDescent="0.2">
      <c r="A73" s="88" t="s">
        <v>165</v>
      </c>
      <c r="B73" s="72" t="s">
        <v>65</v>
      </c>
      <c r="C73" s="77">
        <v>21150</v>
      </c>
      <c r="D73" s="77">
        <v>970</v>
      </c>
      <c r="E73" s="77"/>
      <c r="F73" s="77">
        <v>24500</v>
      </c>
      <c r="G73" s="77">
        <v>9500</v>
      </c>
      <c r="H73" s="77">
        <v>10000</v>
      </c>
      <c r="I73" s="77"/>
      <c r="J73" s="77">
        <v>1000</v>
      </c>
      <c r="K73" s="77"/>
      <c r="L73" s="161"/>
      <c r="M73" s="161"/>
      <c r="N73" s="161"/>
      <c r="O73" s="161"/>
      <c r="P73" s="161"/>
      <c r="Q73" s="161"/>
      <c r="R73" s="77">
        <f t="shared" si="14"/>
        <v>48120</v>
      </c>
      <c r="S73" s="136">
        <v>23292.5</v>
      </c>
      <c r="T73" s="77">
        <f t="shared" si="9"/>
        <v>24827.5</v>
      </c>
      <c r="U73" s="78">
        <f t="shared" si="12"/>
        <v>4.4905685779120328E-3</v>
      </c>
      <c r="V73" s="65"/>
      <c r="W73" s="65"/>
    </row>
    <row r="74" spans="1:23" ht="17.100000000000001" customHeight="1" x14ac:dyDescent="0.2">
      <c r="A74" s="88" t="s">
        <v>166</v>
      </c>
      <c r="B74" s="72" t="s">
        <v>167</v>
      </c>
      <c r="C74" s="77">
        <v>17000</v>
      </c>
      <c r="D74" s="77">
        <v>750</v>
      </c>
      <c r="E74" s="77"/>
      <c r="F74" s="77">
        <v>5000</v>
      </c>
      <c r="G74" s="77"/>
      <c r="H74" s="77">
        <v>7500</v>
      </c>
      <c r="I74" s="77"/>
      <c r="J74" s="77"/>
      <c r="K74" s="77"/>
      <c r="L74" s="161"/>
      <c r="M74" s="161"/>
      <c r="N74" s="161"/>
      <c r="O74" s="161"/>
      <c r="P74" s="161"/>
      <c r="Q74" s="161"/>
      <c r="R74" s="77">
        <f t="shared" si="14"/>
        <v>30250</v>
      </c>
      <c r="S74" s="136">
        <v>6086.74</v>
      </c>
      <c r="T74" s="77">
        <f t="shared" si="9"/>
        <v>24163.260000000002</v>
      </c>
      <c r="U74" s="78">
        <f t="shared" si="12"/>
        <v>1.1734645652429015E-3</v>
      </c>
      <c r="V74" s="65"/>
      <c r="W74" s="65"/>
    </row>
    <row r="75" spans="1:23" ht="17.100000000000001" customHeight="1" x14ac:dyDescent="0.2">
      <c r="A75" s="88"/>
      <c r="B75" s="72"/>
      <c r="C75" s="77"/>
      <c r="D75" s="77"/>
      <c r="E75" s="77"/>
      <c r="F75" s="77"/>
      <c r="G75" s="77"/>
      <c r="H75" s="77"/>
      <c r="I75" s="77"/>
      <c r="J75" s="77"/>
      <c r="K75" s="77"/>
      <c r="L75" s="161"/>
      <c r="M75" s="161"/>
      <c r="N75" s="161"/>
      <c r="O75" s="161"/>
      <c r="P75" s="161"/>
      <c r="Q75" s="161"/>
      <c r="R75" s="77"/>
      <c r="S75" s="136"/>
      <c r="T75" s="77"/>
      <c r="U75" s="78"/>
      <c r="V75" s="65"/>
      <c r="W75" s="65"/>
    </row>
    <row r="76" spans="1:23" ht="17.100000000000001" customHeight="1" x14ac:dyDescent="0.2">
      <c r="A76" s="88"/>
      <c r="B76" s="72"/>
      <c r="C76" s="77"/>
      <c r="D76" s="77"/>
      <c r="E76" s="77"/>
      <c r="F76" s="77"/>
      <c r="G76" s="77"/>
      <c r="H76" s="77"/>
      <c r="I76" s="77"/>
      <c r="J76" s="77"/>
      <c r="K76" s="77"/>
      <c r="L76" s="161"/>
      <c r="M76" s="161"/>
      <c r="N76" s="161"/>
      <c r="O76" s="161"/>
      <c r="P76" s="161"/>
      <c r="Q76" s="161"/>
      <c r="R76" s="77"/>
      <c r="S76" s="136"/>
      <c r="T76" s="77"/>
      <c r="U76" s="78"/>
      <c r="V76" s="65"/>
      <c r="W76" s="65"/>
    </row>
    <row r="77" spans="1:23" ht="17.100000000000001" customHeight="1" x14ac:dyDescent="0.25">
      <c r="A77" s="86">
        <v>2</v>
      </c>
      <c r="B77" s="87" t="s">
        <v>66</v>
      </c>
      <c r="C77" s="77"/>
      <c r="D77" s="77"/>
      <c r="E77" s="77"/>
      <c r="F77" s="77"/>
      <c r="G77" s="77"/>
      <c r="H77" s="77"/>
      <c r="I77" s="77"/>
      <c r="J77" s="77"/>
      <c r="K77" s="77"/>
      <c r="L77" s="161"/>
      <c r="M77" s="161"/>
      <c r="N77" s="161"/>
      <c r="O77" s="161"/>
      <c r="P77" s="161"/>
      <c r="Q77" s="161"/>
      <c r="R77" s="77"/>
      <c r="S77" s="136"/>
      <c r="T77" s="77"/>
      <c r="U77" s="78"/>
      <c r="V77" s="65"/>
      <c r="W77" s="65"/>
    </row>
    <row r="78" spans="1:23" ht="17.100000000000001" customHeight="1" x14ac:dyDescent="0.2">
      <c r="A78" s="88" t="s">
        <v>168</v>
      </c>
      <c r="B78" s="72" t="s">
        <v>67</v>
      </c>
      <c r="C78" s="77">
        <v>116357.64</v>
      </c>
      <c r="D78" s="77">
        <v>40914</v>
      </c>
      <c r="E78" s="77"/>
      <c r="F78" s="77">
        <v>8500</v>
      </c>
      <c r="G78" s="77"/>
      <c r="H78" s="77"/>
      <c r="I78" s="77"/>
      <c r="J78" s="77">
        <v>5500</v>
      </c>
      <c r="K78" s="77"/>
      <c r="L78" s="161"/>
      <c r="M78" s="161"/>
      <c r="N78" s="161"/>
      <c r="O78" s="161"/>
      <c r="P78" s="161"/>
      <c r="Q78" s="161"/>
      <c r="R78" s="77">
        <f t="shared" ref="R78:R107" si="15">C78+D78-E78+F78-G78+H78-I78+J78-K78</f>
        <v>171271.64</v>
      </c>
      <c r="S78" s="136">
        <v>66261.78</v>
      </c>
      <c r="T78" s="77">
        <f t="shared" si="9"/>
        <v>105009.86000000002</v>
      </c>
      <c r="U78" s="78">
        <f t="shared" ref="U78:U107" si="16">S78/$S$127</f>
        <v>1.2774629910250938E-2</v>
      </c>
      <c r="V78" s="65"/>
      <c r="W78" s="65"/>
    </row>
    <row r="79" spans="1:23" ht="17.100000000000001" customHeight="1" x14ac:dyDescent="0.2">
      <c r="A79" s="88" t="s">
        <v>254</v>
      </c>
      <c r="B79" s="72" t="s">
        <v>255</v>
      </c>
      <c r="C79" s="77">
        <v>0</v>
      </c>
      <c r="D79" s="77">
        <v>750</v>
      </c>
      <c r="E79" s="77"/>
      <c r="F79" s="77"/>
      <c r="G79" s="77"/>
      <c r="H79" s="77"/>
      <c r="I79" s="77"/>
      <c r="J79" s="77"/>
      <c r="K79" s="77"/>
      <c r="L79" s="161"/>
      <c r="M79" s="161"/>
      <c r="N79" s="161"/>
      <c r="O79" s="161"/>
      <c r="P79" s="161"/>
      <c r="Q79" s="161"/>
      <c r="R79" s="77">
        <f t="shared" si="15"/>
        <v>750</v>
      </c>
      <c r="S79" s="154">
        <v>63</v>
      </c>
      <c r="T79" s="77">
        <f t="shared" si="9"/>
        <v>687</v>
      </c>
      <c r="U79" s="78">
        <f t="shared" si="16"/>
        <v>1.2145790293375896E-5</v>
      </c>
      <c r="V79" s="65"/>
      <c r="W79" s="65"/>
    </row>
    <row r="80" spans="1:23" ht="17.100000000000001" customHeight="1" x14ac:dyDescent="0.2">
      <c r="A80" s="88" t="s">
        <v>170</v>
      </c>
      <c r="B80" s="72" t="s">
        <v>69</v>
      </c>
      <c r="C80" s="77">
        <v>2080</v>
      </c>
      <c r="D80" s="77">
        <v>4500</v>
      </c>
      <c r="E80" s="77"/>
      <c r="F80" s="77">
        <v>3000</v>
      </c>
      <c r="G80" s="77"/>
      <c r="H80" s="77"/>
      <c r="I80" s="77"/>
      <c r="J80" s="77"/>
      <c r="K80" s="77"/>
      <c r="L80" s="161"/>
      <c r="M80" s="161"/>
      <c r="N80" s="161"/>
      <c r="O80" s="161"/>
      <c r="P80" s="161"/>
      <c r="Q80" s="161"/>
      <c r="R80" s="77">
        <f t="shared" si="15"/>
        <v>9580</v>
      </c>
      <c r="S80" s="136">
        <v>3815</v>
      </c>
      <c r="T80" s="77">
        <f t="shared" si="9"/>
        <v>5765</v>
      </c>
      <c r="U80" s="78">
        <f t="shared" si="16"/>
        <v>7.3549507887665148E-4</v>
      </c>
      <c r="V80" s="65"/>
      <c r="W80" s="65"/>
    </row>
    <row r="81" spans="1:24" ht="17.100000000000001" customHeight="1" x14ac:dyDescent="0.2">
      <c r="A81" s="88" t="s">
        <v>171</v>
      </c>
      <c r="B81" s="72" t="s">
        <v>307</v>
      </c>
      <c r="C81" s="77">
        <v>62500</v>
      </c>
      <c r="D81" s="77">
        <v>6450</v>
      </c>
      <c r="E81" s="77"/>
      <c r="F81" s="77">
        <v>7500</v>
      </c>
      <c r="G81" s="77"/>
      <c r="H81" s="77"/>
      <c r="I81" s="77"/>
      <c r="J81" s="77">
        <v>2000</v>
      </c>
      <c r="K81" s="77"/>
      <c r="L81" s="161"/>
      <c r="M81" s="161"/>
      <c r="N81" s="161"/>
      <c r="O81" s="161">
        <v>25000</v>
      </c>
      <c r="P81" s="161"/>
      <c r="Q81" s="161">
        <v>25000</v>
      </c>
      <c r="R81" s="77">
        <f>C81+D81-E81+F81-G81+H81-I81+J81-K81-M81+N81-O81</f>
        <v>53450</v>
      </c>
      <c r="S81" s="136">
        <v>33036</v>
      </c>
      <c r="T81" s="77">
        <f t="shared" si="9"/>
        <v>20414</v>
      </c>
      <c r="U81" s="78">
        <f t="shared" si="16"/>
        <v>6.3690210814597789E-3</v>
      </c>
      <c r="V81" s="65"/>
      <c r="W81" s="65"/>
    </row>
    <row r="82" spans="1:24" ht="17.100000000000001" customHeight="1" x14ac:dyDescent="0.2">
      <c r="A82" s="88" t="s">
        <v>172</v>
      </c>
      <c r="B82" s="72" t="s">
        <v>71</v>
      </c>
      <c r="C82" s="77">
        <v>6000</v>
      </c>
      <c r="D82" s="77">
        <v>750</v>
      </c>
      <c r="E82" s="77"/>
      <c r="F82" s="77"/>
      <c r="G82" s="77"/>
      <c r="H82" s="77"/>
      <c r="I82" s="77"/>
      <c r="J82" s="77"/>
      <c r="K82" s="77"/>
      <c r="L82" s="161"/>
      <c r="M82" s="161"/>
      <c r="N82" s="161"/>
      <c r="O82" s="161"/>
      <c r="P82" s="161"/>
      <c r="Q82" s="161"/>
      <c r="R82" s="77">
        <f>C82+D82-E82+F82-G82+H82-I82+J82-K82+L82</f>
        <v>6750</v>
      </c>
      <c r="S82" s="136">
        <v>3443.05</v>
      </c>
      <c r="T82" s="77">
        <f t="shared" si="9"/>
        <v>3306.95</v>
      </c>
      <c r="U82" s="78">
        <f t="shared" si="16"/>
        <v>6.6378671856520449E-4</v>
      </c>
      <c r="V82" s="65"/>
      <c r="W82" s="65"/>
    </row>
    <row r="83" spans="1:24" ht="17.100000000000001" customHeight="1" x14ac:dyDescent="0.2">
      <c r="A83" s="88" t="s">
        <v>173</v>
      </c>
      <c r="B83" s="72" t="s">
        <v>72</v>
      </c>
      <c r="C83" s="77">
        <v>1100</v>
      </c>
      <c r="D83" s="77"/>
      <c r="E83" s="77"/>
      <c r="F83" s="77"/>
      <c r="G83" s="77"/>
      <c r="H83" s="77"/>
      <c r="I83" s="77"/>
      <c r="J83" s="77"/>
      <c r="K83" s="77"/>
      <c r="L83" s="161">
        <v>2000</v>
      </c>
      <c r="M83" s="161"/>
      <c r="N83" s="161"/>
      <c r="O83" s="161"/>
      <c r="P83" s="161"/>
      <c r="Q83" s="161"/>
      <c r="R83" s="77">
        <f>C83+D83-E83+F83-G83+H83-I83+J83-K83+L83</f>
        <v>3100</v>
      </c>
      <c r="S83" s="136">
        <v>1345.6</v>
      </c>
      <c r="T83" s="77">
        <f t="shared" si="9"/>
        <v>1754.4</v>
      </c>
      <c r="U83" s="78">
        <f t="shared" si="16"/>
        <v>2.5941865744073974E-4</v>
      </c>
      <c r="V83" s="65"/>
      <c r="W83" s="65"/>
    </row>
    <row r="84" spans="1:24" ht="17.100000000000001" customHeight="1" x14ac:dyDescent="0.2">
      <c r="A84" s="88" t="s">
        <v>174</v>
      </c>
      <c r="B84" s="72" t="s">
        <v>175</v>
      </c>
      <c r="C84" s="77">
        <v>2255</v>
      </c>
      <c r="D84" s="77"/>
      <c r="E84" s="77"/>
      <c r="F84" s="77"/>
      <c r="G84" s="77"/>
      <c r="H84" s="77"/>
      <c r="I84" s="77"/>
      <c r="J84" s="77"/>
      <c r="K84" s="77"/>
      <c r="L84" s="161"/>
      <c r="M84" s="161"/>
      <c r="N84" s="161"/>
      <c r="O84" s="161"/>
      <c r="P84" s="161"/>
      <c r="Q84" s="161"/>
      <c r="R84" s="77">
        <f t="shared" si="15"/>
        <v>2255</v>
      </c>
      <c r="S84" s="136">
        <v>2088.4</v>
      </c>
      <c r="T84" s="77">
        <f t="shared" si="9"/>
        <v>166.59999999999991</v>
      </c>
      <c r="U84" s="78">
        <f t="shared" si="16"/>
        <v>4.0262330870930509E-4</v>
      </c>
      <c r="V84" s="65"/>
      <c r="W84" s="65"/>
    </row>
    <row r="85" spans="1:24" ht="17.100000000000001" customHeight="1" x14ac:dyDescent="0.2">
      <c r="A85" s="88" t="s">
        <v>176</v>
      </c>
      <c r="B85" s="72" t="s">
        <v>177</v>
      </c>
      <c r="C85" s="77">
        <v>1300</v>
      </c>
      <c r="D85" s="77"/>
      <c r="E85" s="77"/>
      <c r="F85" s="77"/>
      <c r="G85" s="77"/>
      <c r="H85" s="77"/>
      <c r="I85" s="77"/>
      <c r="J85" s="77"/>
      <c r="K85" s="77"/>
      <c r="L85" s="161"/>
      <c r="M85" s="161"/>
      <c r="N85" s="161"/>
      <c r="O85" s="161"/>
      <c r="P85" s="161"/>
      <c r="Q85" s="161"/>
      <c r="R85" s="77">
        <f t="shared" si="15"/>
        <v>1300</v>
      </c>
      <c r="S85" s="136">
        <v>21</v>
      </c>
      <c r="T85" s="77">
        <f t="shared" si="9"/>
        <v>1279</v>
      </c>
      <c r="U85" s="78">
        <f t="shared" si="16"/>
        <v>4.0485967644586321E-6</v>
      </c>
      <c r="V85" s="65"/>
      <c r="W85" s="65"/>
    </row>
    <row r="86" spans="1:24" ht="17.100000000000001" customHeight="1" x14ac:dyDescent="0.2">
      <c r="A86" s="88" t="s">
        <v>178</v>
      </c>
      <c r="B86" s="72" t="s">
        <v>179</v>
      </c>
      <c r="C86" s="77">
        <v>7500</v>
      </c>
      <c r="D86" s="77"/>
      <c r="E86" s="77"/>
      <c r="F86" s="77"/>
      <c r="G86" s="77"/>
      <c r="H86" s="77"/>
      <c r="I86" s="77"/>
      <c r="J86" s="77"/>
      <c r="K86" s="77"/>
      <c r="L86" s="161"/>
      <c r="M86" s="161"/>
      <c r="N86" s="161"/>
      <c r="O86" s="161"/>
      <c r="P86" s="161"/>
      <c r="Q86" s="161"/>
      <c r="R86" s="77">
        <f t="shared" si="15"/>
        <v>7500</v>
      </c>
      <c r="S86" s="136">
        <v>0</v>
      </c>
      <c r="T86" s="77">
        <f t="shared" si="9"/>
        <v>7500</v>
      </c>
      <c r="U86" s="78">
        <f t="shared" si="16"/>
        <v>0</v>
      </c>
      <c r="V86" s="65"/>
      <c r="W86" s="65"/>
    </row>
    <row r="87" spans="1:24" ht="17.100000000000001" customHeight="1" x14ac:dyDescent="0.2">
      <c r="A87" s="88" t="s">
        <v>180</v>
      </c>
      <c r="B87" s="72" t="s">
        <v>73</v>
      </c>
      <c r="C87" s="77">
        <v>200</v>
      </c>
      <c r="D87" s="77">
        <v>1050</v>
      </c>
      <c r="E87" s="77"/>
      <c r="F87" s="77"/>
      <c r="G87" s="77"/>
      <c r="H87" s="77"/>
      <c r="I87" s="77"/>
      <c r="J87" s="77"/>
      <c r="K87" s="77"/>
      <c r="L87" s="161"/>
      <c r="M87" s="161"/>
      <c r="N87" s="161"/>
      <c r="O87" s="161"/>
      <c r="P87" s="161"/>
      <c r="Q87" s="161"/>
      <c r="R87" s="77">
        <f>C87+D87-E87+F87-G87+H87-I87+J87-K87+L87</f>
        <v>1250</v>
      </c>
      <c r="S87" s="136">
        <v>330</v>
      </c>
      <c r="T87" s="77">
        <f t="shared" si="9"/>
        <v>920</v>
      </c>
      <c r="U87" s="78">
        <f t="shared" si="16"/>
        <v>6.3620806298635651E-5</v>
      </c>
      <c r="V87" s="65"/>
      <c r="W87" s="65"/>
    </row>
    <row r="88" spans="1:24" ht="17.100000000000001" customHeight="1" x14ac:dyDescent="0.2">
      <c r="A88" s="88" t="s">
        <v>181</v>
      </c>
      <c r="B88" s="72" t="s">
        <v>74</v>
      </c>
      <c r="C88" s="77">
        <v>10920</v>
      </c>
      <c r="D88" s="77"/>
      <c r="E88" s="77">
        <v>2700</v>
      </c>
      <c r="F88" s="77"/>
      <c r="G88" s="77"/>
      <c r="H88" s="77"/>
      <c r="I88" s="77"/>
      <c r="J88" s="77"/>
      <c r="K88" s="77"/>
      <c r="L88" s="161">
        <v>3000</v>
      </c>
      <c r="M88" s="161"/>
      <c r="N88" s="161"/>
      <c r="O88" s="161"/>
      <c r="P88" s="161"/>
      <c r="Q88" s="161"/>
      <c r="R88" s="77">
        <f>C88+D88-E88+F88-G88+H88-I88+J88-K88+L88</f>
        <v>11220</v>
      </c>
      <c r="S88" s="136">
        <v>9223.75</v>
      </c>
      <c r="T88" s="77">
        <f t="shared" si="9"/>
        <v>1996.25</v>
      </c>
      <c r="U88" s="78">
        <f t="shared" si="16"/>
        <v>1.7782497336273956E-3</v>
      </c>
      <c r="V88" s="65"/>
      <c r="W88" s="65"/>
    </row>
    <row r="89" spans="1:24" ht="17.100000000000001" customHeight="1" x14ac:dyDescent="0.2">
      <c r="A89" s="88" t="s">
        <v>182</v>
      </c>
      <c r="B89" s="72" t="s">
        <v>183</v>
      </c>
      <c r="C89" s="77">
        <v>1850</v>
      </c>
      <c r="D89" s="77"/>
      <c r="E89" s="77"/>
      <c r="F89" s="77"/>
      <c r="G89" s="77"/>
      <c r="H89" s="77">
        <v>3500</v>
      </c>
      <c r="I89" s="77"/>
      <c r="J89" s="77"/>
      <c r="K89" s="77"/>
      <c r="L89" s="161"/>
      <c r="M89" s="161"/>
      <c r="N89" s="161"/>
      <c r="O89" s="161"/>
      <c r="P89" s="161"/>
      <c r="Q89" s="161"/>
      <c r="R89" s="77">
        <f t="shared" si="15"/>
        <v>5350</v>
      </c>
      <c r="S89" s="136">
        <v>2618.04</v>
      </c>
      <c r="T89" s="77">
        <f t="shared" si="9"/>
        <v>2731.96</v>
      </c>
      <c r="U89" s="78">
        <f t="shared" si="16"/>
        <v>5.0473277491539415E-4</v>
      </c>
      <c r="V89" s="65"/>
      <c r="W89" s="65"/>
    </row>
    <row r="90" spans="1:24" ht="17.100000000000001" customHeight="1" x14ac:dyDescent="0.2">
      <c r="A90" s="88" t="s">
        <v>184</v>
      </c>
      <c r="B90" s="72" t="s">
        <v>75</v>
      </c>
      <c r="C90" s="77">
        <v>19000</v>
      </c>
      <c r="D90" s="77">
        <v>3250</v>
      </c>
      <c r="E90" s="77"/>
      <c r="F90" s="77">
        <v>8640</v>
      </c>
      <c r="G90" s="77"/>
      <c r="H90" s="77">
        <v>10500</v>
      </c>
      <c r="I90" s="77"/>
      <c r="J90" s="77"/>
      <c r="K90" s="77"/>
      <c r="L90" s="161"/>
      <c r="M90" s="161"/>
      <c r="N90" s="161"/>
      <c r="O90" s="161"/>
      <c r="P90" s="161"/>
      <c r="Q90" s="161"/>
      <c r="R90" s="77">
        <f>C90+D90-E90+F90-G90+H90-I90+J90-K90-M90</f>
        <v>41390</v>
      </c>
      <c r="S90" s="136">
        <v>29365.94</v>
      </c>
      <c r="T90" s="77">
        <f t="shared" si="9"/>
        <v>12024.060000000001</v>
      </c>
      <c r="U90" s="78">
        <f t="shared" si="16"/>
        <v>5.6614690318707766E-3</v>
      </c>
      <c r="V90" s="65"/>
      <c r="W90" s="65"/>
    </row>
    <row r="91" spans="1:24" ht="17.100000000000001" customHeight="1" x14ac:dyDescent="0.2">
      <c r="A91" s="88" t="s">
        <v>185</v>
      </c>
      <c r="B91" s="72" t="s">
        <v>186</v>
      </c>
      <c r="C91" s="77">
        <v>4793.1600000000008</v>
      </c>
      <c r="D91" s="77">
        <v>17750</v>
      </c>
      <c r="E91" s="77"/>
      <c r="F91" s="77">
        <v>985</v>
      </c>
      <c r="G91" s="77"/>
      <c r="H91" s="77"/>
      <c r="I91" s="77"/>
      <c r="J91" s="77"/>
      <c r="K91" s="77"/>
      <c r="L91" s="161"/>
      <c r="M91" s="161">
        <v>10000</v>
      </c>
      <c r="N91" s="161"/>
      <c r="O91" s="161"/>
      <c r="P91" s="161"/>
      <c r="Q91" s="161"/>
      <c r="R91" s="77">
        <f>C91+D91-E91+F91-G91+H91-I91+J91-K91-M91</f>
        <v>13528.16</v>
      </c>
      <c r="S91" s="136">
        <v>3457.9600000000005</v>
      </c>
      <c r="T91" s="77">
        <f t="shared" si="9"/>
        <v>10070.199999999999</v>
      </c>
      <c r="U91" s="78">
        <f t="shared" si="16"/>
        <v>6.6666122226797012E-4</v>
      </c>
      <c r="V91" s="65"/>
      <c r="W91" s="65"/>
    </row>
    <row r="92" spans="1:24" ht="17.100000000000001" customHeight="1" x14ac:dyDescent="0.2">
      <c r="A92" s="88" t="s">
        <v>187</v>
      </c>
      <c r="B92" s="72" t="s">
        <v>275</v>
      </c>
      <c r="C92" s="77">
        <v>1250</v>
      </c>
      <c r="D92" s="77"/>
      <c r="E92" s="77"/>
      <c r="F92" s="77">
        <v>650</v>
      </c>
      <c r="G92" s="77"/>
      <c r="H92" s="77"/>
      <c r="I92" s="77"/>
      <c r="J92" s="77"/>
      <c r="K92" s="77"/>
      <c r="L92" s="161"/>
      <c r="M92" s="161"/>
      <c r="N92" s="161"/>
      <c r="O92" s="161"/>
      <c r="P92" s="161"/>
      <c r="Q92" s="161"/>
      <c r="R92" s="77">
        <f t="shared" si="15"/>
        <v>1900</v>
      </c>
      <c r="S92" s="136">
        <v>1511</v>
      </c>
      <c r="T92" s="77">
        <f t="shared" ref="T92:T125" si="17">R92-S92</f>
        <v>389</v>
      </c>
      <c r="U92" s="78">
        <f t="shared" si="16"/>
        <v>2.9130617671890439E-4</v>
      </c>
      <c r="V92" s="65"/>
      <c r="W92" s="65"/>
    </row>
    <row r="93" spans="1:24" ht="17.100000000000001" customHeight="1" x14ac:dyDescent="0.2">
      <c r="A93" s="88" t="s">
        <v>189</v>
      </c>
      <c r="B93" s="72" t="s">
        <v>76</v>
      </c>
      <c r="C93" s="77">
        <v>165089.08000000002</v>
      </c>
      <c r="D93" s="77"/>
      <c r="E93" s="77">
        <v>2000</v>
      </c>
      <c r="F93" s="77"/>
      <c r="G93" s="77">
        <v>77463</v>
      </c>
      <c r="H93" s="77"/>
      <c r="I93" s="77"/>
      <c r="J93" s="77"/>
      <c r="K93" s="77"/>
      <c r="L93" s="161"/>
      <c r="M93" s="161"/>
      <c r="N93" s="161"/>
      <c r="O93" s="161"/>
      <c r="P93" s="161"/>
      <c r="Q93" s="161"/>
      <c r="R93" s="77">
        <f t="shared" si="15"/>
        <v>85626.080000000016</v>
      </c>
      <c r="S93" s="136">
        <v>83271.08</v>
      </c>
      <c r="T93" s="77">
        <f t="shared" si="17"/>
        <v>2355.0000000000146</v>
      </c>
      <c r="U93" s="78">
        <f t="shared" si="16"/>
        <v>1.6053858336236949E-2</v>
      </c>
      <c r="V93" s="65"/>
      <c r="W93" s="65"/>
    </row>
    <row r="94" spans="1:24" ht="17.100000000000001" customHeight="1" x14ac:dyDescent="0.2">
      <c r="A94" s="88" t="s">
        <v>190</v>
      </c>
      <c r="B94" s="72" t="s">
        <v>77</v>
      </c>
      <c r="C94" s="77">
        <v>0</v>
      </c>
      <c r="D94" s="77"/>
      <c r="E94" s="77"/>
      <c r="F94" s="77"/>
      <c r="G94" s="77"/>
      <c r="H94" s="77"/>
      <c r="I94" s="77"/>
      <c r="J94" s="77"/>
      <c r="K94" s="77"/>
      <c r="L94" s="161"/>
      <c r="M94" s="161"/>
      <c r="N94" s="161"/>
      <c r="O94" s="161"/>
      <c r="P94" s="161"/>
      <c r="Q94" s="161"/>
      <c r="R94" s="77">
        <f t="shared" si="15"/>
        <v>0</v>
      </c>
      <c r="S94" s="136">
        <v>0</v>
      </c>
      <c r="T94" s="77">
        <f t="shared" si="17"/>
        <v>0</v>
      </c>
      <c r="U94" s="78">
        <f t="shared" si="16"/>
        <v>0</v>
      </c>
      <c r="V94" s="65"/>
      <c r="W94" s="65"/>
    </row>
    <row r="95" spans="1:24" ht="17.100000000000001" customHeight="1" x14ac:dyDescent="0.2">
      <c r="A95" s="88" t="s">
        <v>256</v>
      </c>
      <c r="B95" s="72" t="s">
        <v>257</v>
      </c>
      <c r="C95" s="77">
        <v>0</v>
      </c>
      <c r="D95" s="77">
        <v>1200</v>
      </c>
      <c r="E95" s="77"/>
      <c r="F95" s="77"/>
      <c r="G95" s="77"/>
      <c r="H95" s="77"/>
      <c r="I95" s="77"/>
      <c r="J95" s="77"/>
      <c r="K95" s="77"/>
      <c r="L95" s="161"/>
      <c r="M95" s="161"/>
      <c r="N95" s="161"/>
      <c r="O95" s="161"/>
      <c r="P95" s="161"/>
      <c r="Q95" s="161"/>
      <c r="R95" s="77">
        <f t="shared" si="15"/>
        <v>1200</v>
      </c>
      <c r="S95" s="136">
        <v>75</v>
      </c>
      <c r="T95" s="77">
        <f t="shared" si="17"/>
        <v>1125</v>
      </c>
      <c r="U95" s="78">
        <f t="shared" si="16"/>
        <v>1.4459274158780828E-5</v>
      </c>
      <c r="V95" s="65"/>
      <c r="W95" s="65"/>
    </row>
    <row r="96" spans="1:24" ht="17.100000000000001" customHeight="1" x14ac:dyDescent="0.2">
      <c r="A96" s="88" t="s">
        <v>258</v>
      </c>
      <c r="B96" s="72" t="s">
        <v>259</v>
      </c>
      <c r="C96" s="77">
        <v>0</v>
      </c>
      <c r="D96" s="77">
        <v>750</v>
      </c>
      <c r="E96" s="77"/>
      <c r="F96" s="77"/>
      <c r="G96" s="77"/>
      <c r="H96" s="77"/>
      <c r="I96" s="77"/>
      <c r="J96" s="77"/>
      <c r="K96" s="77"/>
      <c r="L96" s="161"/>
      <c r="M96" s="161"/>
      <c r="N96" s="161"/>
      <c r="O96" s="161"/>
      <c r="P96" s="161"/>
      <c r="Q96" s="161"/>
      <c r="R96" s="77">
        <f t="shared" si="15"/>
        <v>750</v>
      </c>
      <c r="S96" s="136">
        <v>0</v>
      </c>
      <c r="T96" s="77">
        <f t="shared" si="17"/>
        <v>750</v>
      </c>
      <c r="U96" s="78">
        <f t="shared" si="16"/>
        <v>0</v>
      </c>
      <c r="V96" s="65"/>
      <c r="W96" s="65"/>
      <c r="X96" s="66" t="s">
        <v>320</v>
      </c>
    </row>
    <row r="97" spans="1:23" ht="17.100000000000001" customHeight="1" x14ac:dyDescent="0.2">
      <c r="A97" s="88" t="s">
        <v>191</v>
      </c>
      <c r="B97" s="72" t="s">
        <v>78</v>
      </c>
      <c r="C97" s="77">
        <v>1000</v>
      </c>
      <c r="D97" s="77"/>
      <c r="E97" s="77"/>
      <c r="F97" s="77"/>
      <c r="G97" s="77"/>
      <c r="H97" s="77">
        <v>1500</v>
      </c>
      <c r="I97" s="77"/>
      <c r="J97" s="77"/>
      <c r="K97" s="77"/>
      <c r="L97" s="161"/>
      <c r="M97" s="161"/>
      <c r="N97" s="161"/>
      <c r="O97" s="161"/>
      <c r="P97" s="161"/>
      <c r="Q97" s="161"/>
      <c r="R97" s="77">
        <f>C97+D97-E97+F97-G97+H97-I97+J97-K97-M97</f>
        <v>2500</v>
      </c>
      <c r="S97" s="136">
        <v>1528</v>
      </c>
      <c r="T97" s="77">
        <f t="shared" si="17"/>
        <v>972</v>
      </c>
      <c r="U97" s="78">
        <f t="shared" si="16"/>
        <v>2.9458361219489472E-4</v>
      </c>
      <c r="V97" s="65"/>
      <c r="W97" s="65"/>
    </row>
    <row r="98" spans="1:23" ht="17.100000000000001" customHeight="1" x14ac:dyDescent="0.2">
      <c r="A98" s="88" t="s">
        <v>192</v>
      </c>
      <c r="B98" s="72" t="s">
        <v>79</v>
      </c>
      <c r="C98" s="77">
        <v>7500</v>
      </c>
      <c r="D98" s="77"/>
      <c r="E98" s="77"/>
      <c r="F98" s="77">
        <v>2500</v>
      </c>
      <c r="G98" s="77"/>
      <c r="H98" s="77"/>
      <c r="I98" s="77"/>
      <c r="J98" s="77"/>
      <c r="K98" s="77"/>
      <c r="L98" s="161"/>
      <c r="M98" s="161">
        <v>10000</v>
      </c>
      <c r="N98" s="161"/>
      <c r="O98" s="161"/>
      <c r="P98" s="161"/>
      <c r="Q98" s="161"/>
      <c r="R98" s="77">
        <f>C98+D98-E98+F98-G98+H98-I98+J98-K98-M98</f>
        <v>0</v>
      </c>
      <c r="S98" s="136">
        <v>0</v>
      </c>
      <c r="T98" s="77">
        <f t="shared" si="17"/>
        <v>0</v>
      </c>
      <c r="U98" s="78">
        <f t="shared" si="16"/>
        <v>0</v>
      </c>
      <c r="V98" s="97"/>
      <c r="W98" s="65"/>
    </row>
    <row r="99" spans="1:23" ht="17.100000000000001" customHeight="1" x14ac:dyDescent="0.2">
      <c r="A99" s="88" t="s">
        <v>193</v>
      </c>
      <c r="B99" s="72" t="s">
        <v>194</v>
      </c>
      <c r="C99" s="77">
        <v>1125749.23</v>
      </c>
      <c r="D99" s="77"/>
      <c r="E99" s="77">
        <v>8775</v>
      </c>
      <c r="F99" s="77"/>
      <c r="G99" s="77"/>
      <c r="H99" s="77"/>
      <c r="I99" s="77">
        <v>25000</v>
      </c>
      <c r="J99" s="77"/>
      <c r="K99" s="77">
        <v>178000</v>
      </c>
      <c r="L99" s="161"/>
      <c r="M99" s="161">
        <f>68000</f>
        <v>68000</v>
      </c>
      <c r="N99" s="161"/>
      <c r="O99" s="161">
        <v>45000</v>
      </c>
      <c r="P99" s="161"/>
      <c r="Q99" s="161">
        <v>45000</v>
      </c>
      <c r="R99" s="77">
        <f>C99+D99-E99+F99-G99+H99-I99+J99-K99-M99-O99</f>
        <v>800974.23</v>
      </c>
      <c r="S99" s="136">
        <v>775535.81</v>
      </c>
      <c r="T99" s="77">
        <f t="shared" si="17"/>
        <v>25438.419999999925</v>
      </c>
      <c r="U99" s="78">
        <f t="shared" si="16"/>
        <v>0.14951579862322878</v>
      </c>
      <c r="V99" s="147"/>
      <c r="W99" s="97"/>
    </row>
    <row r="100" spans="1:23" ht="17.100000000000001" customHeight="1" x14ac:dyDescent="0.2">
      <c r="A100" s="88" t="s">
        <v>260</v>
      </c>
      <c r="B100" s="72" t="s">
        <v>261</v>
      </c>
      <c r="C100" s="77">
        <v>0</v>
      </c>
      <c r="D100" s="77">
        <v>1750</v>
      </c>
      <c r="E100" s="77"/>
      <c r="F100" s="77"/>
      <c r="G100" s="77"/>
      <c r="H100" s="77">
        <v>2000</v>
      </c>
      <c r="I100" s="77"/>
      <c r="J100" s="77"/>
      <c r="K100" s="77"/>
      <c r="L100" s="161"/>
      <c r="M100" s="161"/>
      <c r="N100" s="161"/>
      <c r="O100" s="161"/>
      <c r="P100" s="161"/>
      <c r="Q100" s="161"/>
      <c r="R100" s="77">
        <f t="shared" si="15"/>
        <v>3750</v>
      </c>
      <c r="S100" s="136">
        <v>878.48</v>
      </c>
      <c r="T100" s="77">
        <f t="shared" si="17"/>
        <v>2871.52</v>
      </c>
      <c r="U100" s="78">
        <f t="shared" si="16"/>
        <v>1.6936244217341043E-4</v>
      </c>
      <c r="V100" s="65"/>
      <c r="W100" s="65"/>
    </row>
    <row r="101" spans="1:23" ht="17.100000000000001" customHeight="1" x14ac:dyDescent="0.2">
      <c r="A101" s="88" t="s">
        <v>195</v>
      </c>
      <c r="B101" s="72" t="s">
        <v>80</v>
      </c>
      <c r="C101" s="77">
        <v>9940</v>
      </c>
      <c r="D101" s="77"/>
      <c r="E101" s="77">
        <v>625</v>
      </c>
      <c r="F101" s="77"/>
      <c r="G101" s="77"/>
      <c r="H101" s="77"/>
      <c r="I101" s="77"/>
      <c r="J101" s="77"/>
      <c r="K101" s="77"/>
      <c r="L101" s="161"/>
      <c r="M101" s="161"/>
      <c r="N101" s="161"/>
      <c r="O101" s="161"/>
      <c r="P101" s="161"/>
      <c r="Q101" s="161"/>
      <c r="R101" s="77">
        <f>C101+D101-E101+F101-G101+H101-I101+J101-K101+L101</f>
        <v>9315</v>
      </c>
      <c r="S101" s="136">
        <v>5177.84</v>
      </c>
      <c r="T101" s="77">
        <f t="shared" si="17"/>
        <v>4137.16</v>
      </c>
      <c r="U101" s="78">
        <f t="shared" si="16"/>
        <v>9.9823744147068978E-4</v>
      </c>
      <c r="V101" s="65"/>
      <c r="W101" s="65"/>
    </row>
    <row r="102" spans="1:23" ht="17.100000000000001" customHeight="1" x14ac:dyDescent="0.2">
      <c r="A102" s="88" t="s">
        <v>196</v>
      </c>
      <c r="B102" s="72" t="s">
        <v>197</v>
      </c>
      <c r="C102" s="77">
        <v>2250</v>
      </c>
      <c r="D102" s="77"/>
      <c r="E102" s="77">
        <v>450</v>
      </c>
      <c r="F102" s="77"/>
      <c r="G102" s="77"/>
      <c r="H102" s="77"/>
      <c r="I102" s="77"/>
      <c r="J102" s="77"/>
      <c r="K102" s="77"/>
      <c r="L102" s="161">
        <v>1000</v>
      </c>
      <c r="M102" s="161"/>
      <c r="N102" s="161"/>
      <c r="O102" s="161"/>
      <c r="P102" s="161"/>
      <c r="Q102" s="161"/>
      <c r="R102" s="77">
        <f>C102+D102-E102+F102-G102+H102-I102+J102-K102+L102</f>
        <v>2800</v>
      </c>
      <c r="S102" s="136">
        <v>1438.0800000000002</v>
      </c>
      <c r="T102" s="77">
        <f t="shared" si="17"/>
        <v>1361.9199999999998</v>
      </c>
      <c r="U102" s="78">
        <f t="shared" si="16"/>
        <v>2.7724790643012713E-4</v>
      </c>
      <c r="V102" s="65"/>
      <c r="W102" s="65"/>
    </row>
    <row r="103" spans="1:23" ht="17.100000000000001" customHeight="1" x14ac:dyDescent="0.2">
      <c r="A103" s="88" t="s">
        <v>198</v>
      </c>
      <c r="B103" s="72" t="s">
        <v>81</v>
      </c>
      <c r="C103" s="77">
        <v>122483.72</v>
      </c>
      <c r="D103" s="77"/>
      <c r="E103" s="77">
        <v>31960</v>
      </c>
      <c r="F103" s="77">
        <v>3600</v>
      </c>
      <c r="G103" s="77"/>
      <c r="H103" s="77"/>
      <c r="I103" s="77"/>
      <c r="J103" s="77">
        <v>7000</v>
      </c>
      <c r="K103" s="77"/>
      <c r="L103" s="161"/>
      <c r="M103" s="161"/>
      <c r="N103" s="161"/>
      <c r="O103" s="161"/>
      <c r="P103" s="161"/>
      <c r="Q103" s="161"/>
      <c r="R103" s="77">
        <f t="shared" si="15"/>
        <v>101123.72</v>
      </c>
      <c r="S103" s="136">
        <v>52180.55</v>
      </c>
      <c r="T103" s="77">
        <f t="shared" si="17"/>
        <v>48943.17</v>
      </c>
      <c r="U103" s="78">
        <f t="shared" si="16"/>
        <v>1.005990504274628E-2</v>
      </c>
      <c r="V103" s="65"/>
      <c r="W103" s="65"/>
    </row>
    <row r="104" spans="1:23" ht="17.100000000000001" customHeight="1" x14ac:dyDescent="0.2">
      <c r="A104" s="88" t="s">
        <v>199</v>
      </c>
      <c r="B104" s="72" t="s">
        <v>200</v>
      </c>
      <c r="C104" s="77">
        <v>650</v>
      </c>
      <c r="D104" s="77"/>
      <c r="E104" s="77">
        <v>150</v>
      </c>
      <c r="F104" s="77"/>
      <c r="G104" s="77"/>
      <c r="H104" s="77"/>
      <c r="I104" s="77"/>
      <c r="J104" s="77"/>
      <c r="K104" s="77"/>
      <c r="L104" s="161"/>
      <c r="M104" s="161"/>
      <c r="N104" s="161"/>
      <c r="O104" s="161"/>
      <c r="P104" s="161"/>
      <c r="Q104" s="161"/>
      <c r="R104" s="77">
        <f t="shared" si="15"/>
        <v>500</v>
      </c>
      <c r="S104" s="136">
        <v>0</v>
      </c>
      <c r="T104" s="77">
        <f t="shared" si="17"/>
        <v>500</v>
      </c>
      <c r="U104" s="78">
        <f t="shared" si="16"/>
        <v>0</v>
      </c>
      <c r="V104" s="65"/>
      <c r="W104" s="65"/>
    </row>
    <row r="105" spans="1:23" ht="17.100000000000001" customHeight="1" x14ac:dyDescent="0.2">
      <c r="A105" s="88" t="s">
        <v>201</v>
      </c>
      <c r="B105" s="72" t="s">
        <v>202</v>
      </c>
      <c r="C105" s="77">
        <v>6900</v>
      </c>
      <c r="D105" s="77"/>
      <c r="E105" s="77">
        <v>300</v>
      </c>
      <c r="F105" s="77">
        <v>5250</v>
      </c>
      <c r="G105" s="77"/>
      <c r="H105" s="77"/>
      <c r="I105" s="77"/>
      <c r="J105" s="77"/>
      <c r="K105" s="77"/>
      <c r="L105" s="161"/>
      <c r="M105" s="161"/>
      <c r="N105" s="161"/>
      <c r="O105" s="161"/>
      <c r="P105" s="161"/>
      <c r="Q105" s="161"/>
      <c r="R105" s="77">
        <f t="shared" si="15"/>
        <v>11850</v>
      </c>
      <c r="S105" s="136">
        <v>1403.4499999999998</v>
      </c>
      <c r="T105" s="77">
        <f t="shared" si="17"/>
        <v>10446.549999999999</v>
      </c>
      <c r="U105" s="78">
        <f t="shared" si="16"/>
        <v>2.705715775752127E-4</v>
      </c>
      <c r="V105" s="65"/>
      <c r="W105" s="65"/>
    </row>
    <row r="106" spans="1:23" ht="17.100000000000001" customHeight="1" x14ac:dyDescent="0.2">
      <c r="A106" s="88" t="s">
        <v>203</v>
      </c>
      <c r="B106" s="72" t="s">
        <v>82</v>
      </c>
      <c r="C106" s="77">
        <v>85470</v>
      </c>
      <c r="D106" s="77"/>
      <c r="E106" s="77">
        <v>5669</v>
      </c>
      <c r="F106" s="77">
        <v>15690</v>
      </c>
      <c r="G106" s="77"/>
      <c r="H106" s="77"/>
      <c r="I106" s="77"/>
      <c r="J106" s="77"/>
      <c r="K106" s="77"/>
      <c r="L106" s="161"/>
      <c r="M106" s="161"/>
      <c r="N106" s="161"/>
      <c r="O106" s="161"/>
      <c r="P106" s="161"/>
      <c r="Q106" s="161"/>
      <c r="R106" s="77">
        <f t="shared" si="15"/>
        <v>95491</v>
      </c>
      <c r="S106" s="136">
        <v>78126.710000000006</v>
      </c>
      <c r="T106" s="77">
        <f t="shared" si="17"/>
        <v>17364.289999999994</v>
      </c>
      <c r="U106" s="78">
        <f t="shared" si="16"/>
        <v>1.5062073586847517E-2</v>
      </c>
      <c r="V106" s="65"/>
      <c r="W106" s="65"/>
    </row>
    <row r="107" spans="1:23" ht="17.100000000000001" customHeight="1" x14ac:dyDescent="0.2">
      <c r="A107" s="88" t="s">
        <v>204</v>
      </c>
      <c r="B107" s="72" t="s">
        <v>83</v>
      </c>
      <c r="C107" s="77">
        <v>15600</v>
      </c>
      <c r="D107" s="77"/>
      <c r="E107" s="77">
        <v>3600</v>
      </c>
      <c r="F107" s="77"/>
      <c r="G107" s="77"/>
      <c r="H107" s="77"/>
      <c r="I107" s="77"/>
      <c r="J107" s="77"/>
      <c r="K107" s="77"/>
      <c r="L107" s="161"/>
      <c r="M107" s="161"/>
      <c r="N107" s="161"/>
      <c r="O107" s="161"/>
      <c r="P107" s="161"/>
      <c r="Q107" s="161"/>
      <c r="R107" s="77">
        <f t="shared" si="15"/>
        <v>12000</v>
      </c>
      <c r="S107" s="136">
        <v>3699.66</v>
      </c>
      <c r="T107" s="77">
        <f t="shared" si="17"/>
        <v>8300.34</v>
      </c>
      <c r="U107" s="78">
        <f t="shared" si="16"/>
        <v>7.1325864312366774E-4</v>
      </c>
      <c r="V107" s="65"/>
      <c r="W107" s="65"/>
    </row>
    <row r="108" spans="1:23" ht="17.100000000000001" customHeight="1" x14ac:dyDescent="0.2">
      <c r="A108" s="88"/>
      <c r="B108" s="72"/>
      <c r="C108" s="77"/>
      <c r="D108" s="77"/>
      <c r="E108" s="77"/>
      <c r="F108" s="77"/>
      <c r="G108" s="77"/>
      <c r="H108" s="77"/>
      <c r="I108" s="77"/>
      <c r="J108" s="77"/>
      <c r="K108" s="77"/>
      <c r="L108" s="161"/>
      <c r="M108" s="161"/>
      <c r="N108" s="161"/>
      <c r="O108" s="161"/>
      <c r="P108" s="161"/>
      <c r="Q108" s="161"/>
      <c r="R108" s="77"/>
      <c r="S108" s="136"/>
      <c r="T108" s="77"/>
      <c r="U108" s="78"/>
      <c r="V108" s="65"/>
      <c r="W108" s="65"/>
    </row>
    <row r="109" spans="1:23" ht="17.100000000000001" customHeight="1" x14ac:dyDescent="0.2">
      <c r="A109" s="88"/>
      <c r="B109" s="72"/>
      <c r="C109" s="77"/>
      <c r="D109" s="77"/>
      <c r="E109" s="77"/>
      <c r="F109" s="77"/>
      <c r="G109" s="77"/>
      <c r="H109" s="77"/>
      <c r="I109" s="77"/>
      <c r="J109" s="77"/>
      <c r="K109" s="77"/>
      <c r="L109" s="161"/>
      <c r="M109" s="161"/>
      <c r="N109" s="161"/>
      <c r="O109" s="161"/>
      <c r="P109" s="161"/>
      <c r="Q109" s="161"/>
      <c r="R109" s="77"/>
      <c r="S109" s="136"/>
      <c r="T109" s="77"/>
      <c r="U109" s="78"/>
      <c r="V109" s="65"/>
      <c r="W109" s="65"/>
    </row>
    <row r="110" spans="1:23" ht="17.100000000000001" customHeight="1" x14ac:dyDescent="0.25">
      <c r="A110" s="86">
        <v>3</v>
      </c>
      <c r="B110" s="87" t="s">
        <v>84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161"/>
      <c r="M110" s="161"/>
      <c r="N110" s="161"/>
      <c r="O110" s="161"/>
      <c r="P110" s="161"/>
      <c r="Q110" s="161"/>
      <c r="R110" s="77"/>
      <c r="S110" s="136"/>
      <c r="T110" s="77"/>
      <c r="U110" s="78"/>
      <c r="V110" s="65"/>
      <c r="W110" s="65"/>
    </row>
    <row r="111" spans="1:23" ht="17.100000000000001" customHeight="1" x14ac:dyDescent="0.2">
      <c r="A111" s="88" t="s">
        <v>205</v>
      </c>
      <c r="B111" s="72" t="s">
        <v>85</v>
      </c>
      <c r="C111" s="77">
        <v>162200</v>
      </c>
      <c r="D111" s="77"/>
      <c r="E111" s="77"/>
      <c r="F111" s="77"/>
      <c r="G111" s="77"/>
      <c r="H111" s="77"/>
      <c r="I111" s="77"/>
      <c r="J111" s="77"/>
      <c r="K111" s="77"/>
      <c r="L111" s="161"/>
      <c r="M111" s="161"/>
      <c r="N111" s="161"/>
      <c r="O111" s="161"/>
      <c r="P111" s="161"/>
      <c r="Q111" s="161"/>
      <c r="R111" s="77">
        <f t="shared" ref="R111:R118" si="18">C111+D111-E111+F111-G111+H111-I111+J111-K111</f>
        <v>162200</v>
      </c>
      <c r="S111" s="136">
        <v>1750</v>
      </c>
      <c r="T111" s="77">
        <f t="shared" si="17"/>
        <v>160450</v>
      </c>
      <c r="U111" s="78">
        <f t="shared" ref="U111:U116" si="19">S111/$S$127</f>
        <v>3.37383063704886E-4</v>
      </c>
      <c r="V111" s="65"/>
      <c r="W111" s="65"/>
    </row>
    <row r="112" spans="1:23" ht="17.100000000000001" customHeight="1" x14ac:dyDescent="0.2">
      <c r="A112" s="88" t="s">
        <v>206</v>
      </c>
      <c r="B112" s="72" t="s">
        <v>207</v>
      </c>
      <c r="C112" s="77">
        <v>0</v>
      </c>
      <c r="D112" s="77"/>
      <c r="E112" s="77"/>
      <c r="F112" s="77"/>
      <c r="G112" s="77"/>
      <c r="H112" s="77"/>
      <c r="I112" s="77"/>
      <c r="J112" s="77"/>
      <c r="K112" s="77"/>
      <c r="L112" s="161"/>
      <c r="M112" s="161"/>
      <c r="N112" s="161"/>
      <c r="O112" s="161"/>
      <c r="P112" s="161"/>
      <c r="Q112" s="161"/>
      <c r="R112" s="77">
        <f t="shared" si="18"/>
        <v>0</v>
      </c>
      <c r="S112" s="136">
        <v>0</v>
      </c>
      <c r="T112" s="77">
        <f t="shared" si="17"/>
        <v>0</v>
      </c>
      <c r="U112" s="78">
        <f t="shared" si="19"/>
        <v>0</v>
      </c>
      <c r="V112" s="65"/>
      <c r="W112" s="65"/>
    </row>
    <row r="113" spans="1:23" ht="17.100000000000001" customHeight="1" x14ac:dyDescent="0.2">
      <c r="A113" s="88" t="s">
        <v>208</v>
      </c>
      <c r="B113" s="72" t="s">
        <v>209</v>
      </c>
      <c r="C113" s="77">
        <v>1856690.49</v>
      </c>
      <c r="D113" s="77"/>
      <c r="E113" s="77"/>
      <c r="F113" s="77"/>
      <c r="G113" s="77"/>
      <c r="H113" s="77"/>
      <c r="I113" s="77"/>
      <c r="J113" s="77"/>
      <c r="K113" s="77"/>
      <c r="L113" s="161"/>
      <c r="M113" s="161"/>
      <c r="N113" s="161"/>
      <c r="O113" s="161"/>
      <c r="P113" s="161"/>
      <c r="Q113" s="161"/>
      <c r="R113" s="77">
        <f t="shared" si="18"/>
        <v>1856690.49</v>
      </c>
      <c r="S113" s="136">
        <v>106297.24</v>
      </c>
      <c r="T113" s="77">
        <f t="shared" si="17"/>
        <v>1750393.25</v>
      </c>
      <c r="U113" s="78">
        <f t="shared" si="19"/>
        <v>2.0493079139756318E-2</v>
      </c>
      <c r="V113" s="65"/>
      <c r="W113" s="65"/>
    </row>
    <row r="114" spans="1:23" ht="17.100000000000001" customHeight="1" x14ac:dyDescent="0.2">
      <c r="A114" s="88" t="s">
        <v>210</v>
      </c>
      <c r="B114" s="72" t="s">
        <v>211</v>
      </c>
      <c r="C114" s="77">
        <v>200000</v>
      </c>
      <c r="D114" s="77"/>
      <c r="E114" s="77"/>
      <c r="F114" s="77"/>
      <c r="G114" s="77"/>
      <c r="H114" s="77"/>
      <c r="I114" s="77"/>
      <c r="J114" s="77"/>
      <c r="K114" s="77"/>
      <c r="L114" s="161"/>
      <c r="M114" s="161"/>
      <c r="N114" s="161"/>
      <c r="O114" s="161"/>
      <c r="P114" s="161"/>
      <c r="Q114" s="161"/>
      <c r="R114" s="77">
        <f t="shared" si="18"/>
        <v>200000</v>
      </c>
      <c r="S114" s="136">
        <v>0</v>
      </c>
      <c r="T114" s="77">
        <f t="shared" si="17"/>
        <v>200000</v>
      </c>
      <c r="U114" s="78">
        <f t="shared" si="19"/>
        <v>0</v>
      </c>
      <c r="V114" s="65"/>
      <c r="W114" s="65"/>
    </row>
    <row r="115" spans="1:23" ht="17.100000000000001" customHeight="1" x14ac:dyDescent="0.2">
      <c r="A115" s="88" t="s">
        <v>212</v>
      </c>
      <c r="B115" s="72" t="s">
        <v>213</v>
      </c>
      <c r="C115" s="77">
        <v>500</v>
      </c>
      <c r="D115" s="77"/>
      <c r="E115" s="77"/>
      <c r="F115" s="77">
        <v>1200</v>
      </c>
      <c r="G115" s="77"/>
      <c r="H115" s="77"/>
      <c r="I115" s="77"/>
      <c r="J115" s="77"/>
      <c r="K115" s="77"/>
      <c r="L115" s="161"/>
      <c r="M115" s="161"/>
      <c r="N115" s="161"/>
      <c r="O115" s="161"/>
      <c r="P115" s="161"/>
      <c r="Q115" s="161"/>
      <c r="R115" s="77">
        <f t="shared" si="18"/>
        <v>1700</v>
      </c>
      <c r="S115" s="136">
        <v>1199.92</v>
      </c>
      <c r="T115" s="77">
        <f t="shared" si="17"/>
        <v>500.07999999999993</v>
      </c>
      <c r="U115" s="78">
        <f t="shared" si="19"/>
        <v>2.3133296331472389E-4</v>
      </c>
      <c r="V115" s="65"/>
      <c r="W115" s="65"/>
    </row>
    <row r="116" spans="1:23" ht="17.100000000000001" customHeight="1" x14ac:dyDescent="0.2">
      <c r="A116" s="88" t="s">
        <v>214</v>
      </c>
      <c r="B116" s="72" t="s">
        <v>215</v>
      </c>
      <c r="C116" s="77">
        <v>17500</v>
      </c>
      <c r="D116" s="77"/>
      <c r="E116" s="77"/>
      <c r="F116" s="77"/>
      <c r="G116" s="77"/>
      <c r="H116" s="77"/>
      <c r="I116" s="77"/>
      <c r="J116" s="77"/>
      <c r="K116" s="77"/>
      <c r="L116" s="161"/>
      <c r="M116" s="161"/>
      <c r="N116" s="161"/>
      <c r="O116" s="161"/>
      <c r="P116" s="161"/>
      <c r="Q116" s="161"/>
      <c r="R116" s="77">
        <f t="shared" si="18"/>
        <v>17500</v>
      </c>
      <c r="S116" s="136">
        <v>11725</v>
      </c>
      <c r="T116" s="77">
        <f t="shared" si="17"/>
        <v>5775</v>
      </c>
      <c r="U116" s="78">
        <f t="shared" si="19"/>
        <v>2.2604665268227361E-3</v>
      </c>
      <c r="V116" s="65"/>
      <c r="W116" s="65"/>
    </row>
    <row r="117" spans="1:23" ht="17.100000000000001" customHeight="1" x14ac:dyDescent="0.2">
      <c r="A117" s="88" t="s">
        <v>216</v>
      </c>
      <c r="B117" s="72" t="s">
        <v>217</v>
      </c>
      <c r="C117" s="77">
        <v>20500</v>
      </c>
      <c r="D117" s="77"/>
      <c r="E117" s="77"/>
      <c r="F117" s="77"/>
      <c r="G117" s="77"/>
      <c r="H117" s="77"/>
      <c r="I117" s="77"/>
      <c r="J117" s="77"/>
      <c r="K117" s="77"/>
      <c r="L117" s="161"/>
      <c r="M117" s="161"/>
      <c r="N117" s="161"/>
      <c r="O117" s="161"/>
      <c r="P117" s="161"/>
      <c r="Q117" s="161"/>
      <c r="R117" s="77">
        <f t="shared" si="18"/>
        <v>20500</v>
      </c>
      <c r="S117" s="136">
        <v>0</v>
      </c>
      <c r="T117" s="77">
        <f t="shared" si="17"/>
        <v>20500</v>
      </c>
      <c r="U117" s="78"/>
      <c r="V117" s="65"/>
      <c r="W117" s="65"/>
    </row>
    <row r="118" spans="1:23" ht="17.100000000000001" customHeight="1" x14ac:dyDescent="0.2">
      <c r="A118" s="88" t="s">
        <v>218</v>
      </c>
      <c r="B118" s="72" t="s">
        <v>219</v>
      </c>
      <c r="C118" s="77">
        <v>2784974.71</v>
      </c>
      <c r="D118" s="77"/>
      <c r="E118" s="77"/>
      <c r="F118" s="77"/>
      <c r="G118" s="77"/>
      <c r="H118" s="77"/>
      <c r="I118" s="77"/>
      <c r="J118" s="77"/>
      <c r="K118" s="77"/>
      <c r="L118" s="161"/>
      <c r="M118" s="161"/>
      <c r="N118" s="161"/>
      <c r="O118" s="161"/>
      <c r="P118" s="161"/>
      <c r="Q118" s="161"/>
      <c r="R118" s="77">
        <f t="shared" si="18"/>
        <v>2784974.71</v>
      </c>
      <c r="S118" s="136">
        <v>0</v>
      </c>
      <c r="T118" s="77">
        <f t="shared" si="17"/>
        <v>2784974.71</v>
      </c>
      <c r="U118" s="78"/>
      <c r="V118" s="65"/>
      <c r="W118" s="65"/>
    </row>
    <row r="119" spans="1:23" ht="17.100000000000001" customHeight="1" x14ac:dyDescent="0.2">
      <c r="A119" s="88"/>
      <c r="B119" s="72"/>
      <c r="C119" s="77"/>
      <c r="D119" s="77"/>
      <c r="E119" s="77"/>
      <c r="F119" s="77"/>
      <c r="G119" s="77"/>
      <c r="H119" s="77"/>
      <c r="I119" s="77"/>
      <c r="J119" s="77"/>
      <c r="K119" s="77"/>
      <c r="L119" s="161"/>
      <c r="M119" s="161"/>
      <c r="N119" s="161"/>
      <c r="O119" s="161"/>
      <c r="P119" s="161"/>
      <c r="Q119" s="161"/>
      <c r="R119" s="77"/>
      <c r="S119" s="136"/>
      <c r="T119" s="77"/>
      <c r="U119" s="78"/>
      <c r="V119" s="65"/>
      <c r="W119" s="65"/>
    </row>
    <row r="120" spans="1:23" ht="17.100000000000001" customHeight="1" x14ac:dyDescent="0.25">
      <c r="A120" s="86">
        <v>4</v>
      </c>
      <c r="B120" s="87" t="s">
        <v>86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161"/>
      <c r="M120" s="161"/>
      <c r="N120" s="161"/>
      <c r="O120" s="161"/>
      <c r="P120" s="161"/>
      <c r="Q120" s="161"/>
      <c r="R120" s="77"/>
      <c r="S120" s="136"/>
      <c r="T120" s="77"/>
      <c r="U120" s="78"/>
      <c r="V120" s="65"/>
      <c r="W120" s="65"/>
    </row>
    <row r="121" spans="1:23" ht="17.100000000000001" customHeight="1" x14ac:dyDescent="0.2">
      <c r="A121" s="88" t="s">
        <v>220</v>
      </c>
      <c r="B121" s="72" t="s">
        <v>221</v>
      </c>
      <c r="C121" s="77">
        <v>20750</v>
      </c>
      <c r="D121" s="77"/>
      <c r="E121" s="77"/>
      <c r="F121" s="77"/>
      <c r="G121" s="77"/>
      <c r="H121" s="77"/>
      <c r="I121" s="77"/>
      <c r="J121" s="77">
        <v>20000</v>
      </c>
      <c r="K121" s="77"/>
      <c r="L121" s="161"/>
      <c r="M121" s="161"/>
      <c r="N121" s="161"/>
      <c r="O121" s="161"/>
      <c r="P121" s="161"/>
      <c r="Q121" s="161"/>
      <c r="R121" s="77">
        <f>C121+D121-E121+F121-G121+H121-I121+J121-K121</f>
        <v>40750</v>
      </c>
      <c r="S121" s="136">
        <v>15892.8</v>
      </c>
      <c r="T121" s="77">
        <f t="shared" si="17"/>
        <v>24857.200000000001</v>
      </c>
      <c r="U121" s="78">
        <f>S121/$S$127</f>
        <v>3.0639780313422927E-3</v>
      </c>
      <c r="V121" s="65"/>
      <c r="W121" s="65"/>
    </row>
    <row r="122" spans="1:23" ht="17.100000000000001" customHeight="1" x14ac:dyDescent="0.2">
      <c r="A122" s="88" t="s">
        <v>222</v>
      </c>
      <c r="B122" s="72" t="s">
        <v>223</v>
      </c>
      <c r="C122" s="77">
        <v>7600</v>
      </c>
      <c r="D122" s="77"/>
      <c r="E122" s="77"/>
      <c r="F122" s="77"/>
      <c r="G122" s="77"/>
      <c r="H122" s="77"/>
      <c r="I122" s="77"/>
      <c r="J122" s="77">
        <v>7500</v>
      </c>
      <c r="K122" s="77"/>
      <c r="L122" s="161"/>
      <c r="M122" s="161"/>
      <c r="N122" s="161"/>
      <c r="O122" s="161"/>
      <c r="P122" s="161"/>
      <c r="Q122" s="161"/>
      <c r="R122" s="77">
        <f>C122+D122-E122+F122-G122+H122-I122+J122-K122+L122</f>
        <v>15100</v>
      </c>
      <c r="S122" s="136">
        <v>1324.4</v>
      </c>
      <c r="T122" s="77">
        <f t="shared" si="17"/>
        <v>13775.6</v>
      </c>
      <c r="U122" s="78">
        <f>S122/$S$127</f>
        <v>2.5533150261185776E-4</v>
      </c>
      <c r="V122" s="65"/>
      <c r="W122" s="65"/>
    </row>
    <row r="123" spans="1:23" ht="17.100000000000001" customHeight="1" x14ac:dyDescent="0.2">
      <c r="A123" s="88" t="s">
        <v>224</v>
      </c>
      <c r="B123" s="72" t="s">
        <v>240</v>
      </c>
      <c r="C123" s="77">
        <v>9600</v>
      </c>
      <c r="D123" s="77"/>
      <c r="E123" s="77"/>
      <c r="F123" s="77">
        <v>46500</v>
      </c>
      <c r="G123" s="77"/>
      <c r="H123" s="77"/>
      <c r="I123" s="77"/>
      <c r="J123" s="77"/>
      <c r="K123" s="77"/>
      <c r="L123" s="161">
        <v>4000</v>
      </c>
      <c r="M123" s="161"/>
      <c r="N123" s="161"/>
      <c r="O123" s="161"/>
      <c r="P123" s="161"/>
      <c r="Q123" s="161"/>
      <c r="R123" s="77">
        <f>C123+D123-E123+F123-G123+H123-I123+J123-K123+L123</f>
        <v>60100</v>
      </c>
      <c r="S123" s="136">
        <v>58250</v>
      </c>
      <c r="T123" s="77">
        <f t="shared" si="17"/>
        <v>1850</v>
      </c>
      <c r="U123" s="78">
        <f>S123/$S$127</f>
        <v>1.1230036263319776E-2</v>
      </c>
      <c r="V123" s="65"/>
      <c r="W123" s="65"/>
    </row>
    <row r="124" spans="1:23" ht="17.100000000000001" customHeight="1" x14ac:dyDescent="0.2">
      <c r="A124" s="88" t="s">
        <v>226</v>
      </c>
      <c r="B124" s="72" t="s">
        <v>227</v>
      </c>
      <c r="C124" s="77">
        <v>0</v>
      </c>
      <c r="D124" s="77">
        <v>20000</v>
      </c>
      <c r="E124" s="77"/>
      <c r="F124" s="77"/>
      <c r="G124" s="77">
        <v>20000</v>
      </c>
      <c r="H124" s="77"/>
      <c r="I124" s="77"/>
      <c r="J124" s="77"/>
      <c r="K124" s="77"/>
      <c r="L124" s="161"/>
      <c r="M124" s="161"/>
      <c r="N124" s="161"/>
      <c r="O124" s="161"/>
      <c r="P124" s="161"/>
      <c r="Q124" s="161"/>
      <c r="R124" s="77">
        <f>C124+D124-E124+F124-G124+H124-I124+J124-K124</f>
        <v>0</v>
      </c>
      <c r="S124" s="136">
        <v>31.5</v>
      </c>
      <c r="T124" s="77">
        <v>31.5</v>
      </c>
      <c r="U124" s="78">
        <f>S124/$S$127</f>
        <v>6.0728951466879482E-6</v>
      </c>
      <c r="V124" s="65"/>
      <c r="W124" s="65"/>
    </row>
    <row r="125" spans="1:23" s="65" customFormat="1" ht="17.100000000000001" customHeight="1" x14ac:dyDescent="0.2">
      <c r="A125" s="88" t="s">
        <v>228</v>
      </c>
      <c r="B125" s="72" t="s">
        <v>87</v>
      </c>
      <c r="C125" s="89">
        <v>11050</v>
      </c>
      <c r="D125" s="89"/>
      <c r="E125" s="89"/>
      <c r="F125" s="89"/>
      <c r="G125" s="89"/>
      <c r="H125" s="89"/>
      <c r="I125" s="89"/>
      <c r="J125" s="89"/>
      <c r="K125" s="89"/>
      <c r="L125" s="165"/>
      <c r="M125" s="165"/>
      <c r="N125" s="165"/>
      <c r="O125" s="165"/>
      <c r="P125" s="165"/>
      <c r="Q125" s="165"/>
      <c r="R125" s="77">
        <f>C125+D125-E125+F125-G125+H125-I125+J125-K125</f>
        <v>11050</v>
      </c>
      <c r="S125" s="140">
        <v>6370.87</v>
      </c>
      <c r="T125" s="89">
        <f t="shared" si="17"/>
        <v>4679.13</v>
      </c>
      <c r="U125" s="78">
        <f>S125/$S$127</f>
        <v>1.2282420794660269E-3</v>
      </c>
    </row>
    <row r="126" spans="1:23" s="65" customFormat="1" ht="17.100000000000001" customHeight="1" thickBot="1" x14ac:dyDescent="0.25">
      <c r="A126" s="90"/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166"/>
      <c r="M126" s="166"/>
      <c r="N126" s="166"/>
      <c r="O126" s="166"/>
      <c r="P126" s="166"/>
      <c r="Q126" s="166"/>
      <c r="R126" s="92"/>
      <c r="S126" s="141"/>
      <c r="T126" s="92"/>
      <c r="U126" s="93"/>
    </row>
    <row r="127" spans="1:23" s="65" customFormat="1" ht="17.100000000000001" customHeight="1" thickBot="1" x14ac:dyDescent="0.3">
      <c r="A127" s="80"/>
      <c r="B127" s="80" t="s">
        <v>88</v>
      </c>
      <c r="C127" s="81">
        <f>SUM(C26:C126)</f>
        <v>10804273.189999999</v>
      </c>
      <c r="D127" s="81">
        <f t="shared" ref="D127:K127" si="20">SUM(D26:D126)</f>
        <v>191539.09</v>
      </c>
      <c r="E127" s="81">
        <f t="shared" si="20"/>
        <v>94829</v>
      </c>
      <c r="F127" s="81">
        <f t="shared" si="20"/>
        <v>361650</v>
      </c>
      <c r="G127" s="81">
        <f t="shared" si="20"/>
        <v>106963</v>
      </c>
      <c r="H127" s="81">
        <f t="shared" si="20"/>
        <v>265000</v>
      </c>
      <c r="I127" s="81">
        <f t="shared" si="20"/>
        <v>25000</v>
      </c>
      <c r="J127" s="81">
        <f t="shared" si="20"/>
        <v>178000</v>
      </c>
      <c r="K127" s="81">
        <f t="shared" si="20"/>
        <v>178000</v>
      </c>
      <c r="L127" s="162">
        <f t="shared" ref="L127:M127" si="21">SUM(L26:L125)</f>
        <v>218000</v>
      </c>
      <c r="M127" s="162">
        <f t="shared" si="21"/>
        <v>218000</v>
      </c>
      <c r="N127" s="162">
        <f t="shared" ref="N127:O127" si="22">SUM(N26:N125)</f>
        <v>70000</v>
      </c>
      <c r="O127" s="162">
        <f t="shared" si="22"/>
        <v>70000</v>
      </c>
      <c r="P127" s="162">
        <f t="shared" ref="P127:Q127" si="23">SUM(P26:P125)</f>
        <v>70000</v>
      </c>
      <c r="Q127" s="162">
        <f t="shared" si="23"/>
        <v>70000</v>
      </c>
      <c r="R127" s="81">
        <f>SUM(R26:R126)</f>
        <v>11495670.280000001</v>
      </c>
      <c r="S127" s="137">
        <f>SUM(S26:S126)</f>
        <v>5186982.3600000003</v>
      </c>
      <c r="T127" s="81">
        <f>SUM(T26:T126)</f>
        <v>6325050.4999999991</v>
      </c>
      <c r="U127" s="94">
        <v>1</v>
      </c>
    </row>
    <row r="128" spans="1:23" s="170" customFormat="1" ht="12.75" x14ac:dyDescent="0.2">
      <c r="C128" s="171"/>
      <c r="D128" s="96"/>
      <c r="E128" s="96"/>
      <c r="F128" s="96"/>
      <c r="G128" s="96"/>
      <c r="H128" s="96"/>
      <c r="I128" s="96"/>
      <c r="J128" s="96"/>
      <c r="K128" s="96"/>
      <c r="L128" s="172"/>
      <c r="M128" s="172"/>
      <c r="N128" s="172"/>
      <c r="O128" s="172"/>
      <c r="P128" s="172"/>
      <c r="Q128" s="172"/>
      <c r="R128" s="171"/>
      <c r="S128" s="173"/>
      <c r="T128" s="96"/>
    </row>
    <row r="129" spans="1:20" s="65" customFormat="1" ht="15.75" thickBot="1" x14ac:dyDescent="0.25">
      <c r="C129" s="97"/>
      <c r="D129" s="97"/>
      <c r="E129" s="97"/>
      <c r="F129" s="97"/>
      <c r="G129" s="97"/>
      <c r="H129" s="97"/>
      <c r="I129" s="97"/>
      <c r="J129" s="97"/>
      <c r="K129" s="97"/>
      <c r="L129" s="167"/>
      <c r="M129" s="167"/>
      <c r="N129" s="167"/>
      <c r="O129" s="167"/>
      <c r="P129" s="167"/>
      <c r="Q129" s="167"/>
      <c r="R129" s="99"/>
      <c r="S129" s="143"/>
      <c r="T129" s="97"/>
    </row>
    <row r="130" spans="1:20" s="65" customFormat="1" ht="15.75" x14ac:dyDescent="0.25">
      <c r="A130" s="100" t="s">
        <v>89</v>
      </c>
      <c r="B130" s="101"/>
      <c r="C130" s="102"/>
      <c r="D130" s="97"/>
      <c r="E130" s="97"/>
      <c r="F130" s="97"/>
      <c r="G130" s="97"/>
      <c r="H130" s="97"/>
      <c r="I130" s="97"/>
      <c r="J130" s="97"/>
      <c r="K130" s="97"/>
      <c r="L130" s="167"/>
      <c r="M130" s="167"/>
      <c r="N130" s="167"/>
      <c r="O130" s="167"/>
      <c r="P130" s="167"/>
      <c r="Q130" s="167"/>
      <c r="R130" s="97"/>
      <c r="S130" s="143"/>
      <c r="T130" s="97"/>
    </row>
    <row r="131" spans="1:20" s="65" customFormat="1" ht="15.75" x14ac:dyDescent="0.25">
      <c r="A131" s="103" t="s">
        <v>3</v>
      </c>
      <c r="B131" s="104"/>
      <c r="C131" s="105"/>
      <c r="D131" s="97"/>
      <c r="E131" s="97"/>
      <c r="F131" s="97"/>
      <c r="G131" s="97"/>
      <c r="H131" s="97"/>
      <c r="I131" s="97"/>
      <c r="J131" s="97"/>
      <c r="K131" s="97"/>
      <c r="L131" s="167"/>
      <c r="M131" s="167"/>
      <c r="N131" s="167"/>
      <c r="O131" s="167"/>
      <c r="P131" s="167"/>
      <c r="Q131" s="167"/>
      <c r="R131" s="97"/>
      <c r="S131" s="144"/>
      <c r="T131" s="97"/>
    </row>
    <row r="132" spans="1:20" s="65" customFormat="1" ht="8.1" customHeight="1" thickBot="1" x14ac:dyDescent="0.25">
      <c r="A132" s="106"/>
      <c r="B132" s="107"/>
      <c r="C132" s="108"/>
      <c r="D132" s="97"/>
      <c r="E132" s="97"/>
      <c r="F132" s="97"/>
      <c r="G132" s="97"/>
      <c r="H132" s="97"/>
      <c r="I132" s="97"/>
      <c r="J132" s="97"/>
      <c r="K132" s="97"/>
      <c r="L132" s="167"/>
      <c r="M132" s="167"/>
      <c r="N132" s="167"/>
      <c r="O132" s="167"/>
      <c r="P132" s="167"/>
      <c r="Q132" s="167"/>
      <c r="R132" s="97"/>
      <c r="S132" s="144"/>
      <c r="T132" s="97"/>
    </row>
    <row r="133" spans="1:20" s="65" customFormat="1" ht="8.1" customHeight="1" x14ac:dyDescent="0.2">
      <c r="A133" s="109"/>
      <c r="B133" s="110"/>
      <c r="C133" s="111"/>
      <c r="D133" s="97"/>
      <c r="E133" s="97"/>
      <c r="F133" s="97"/>
      <c r="G133" s="97"/>
      <c r="H133" s="97"/>
      <c r="I133" s="97"/>
      <c r="J133" s="97"/>
      <c r="K133" s="97"/>
      <c r="L133" s="167"/>
      <c r="M133" s="167"/>
      <c r="N133" s="167"/>
      <c r="O133" s="167"/>
      <c r="P133" s="167"/>
      <c r="Q133" s="167"/>
      <c r="R133" s="97"/>
      <c r="S133" s="144"/>
      <c r="T133" s="97"/>
    </row>
    <row r="134" spans="1:20" s="65" customFormat="1" ht="15.95" customHeight="1" x14ac:dyDescent="0.2">
      <c r="A134" s="112" t="s">
        <v>90</v>
      </c>
      <c r="B134" s="113"/>
      <c r="C134" s="114"/>
      <c r="D134" s="97"/>
      <c r="E134" s="97"/>
      <c r="F134" s="97"/>
      <c r="G134" s="97"/>
      <c r="H134" s="97"/>
      <c r="I134" s="97"/>
      <c r="J134" s="97"/>
      <c r="K134" s="97"/>
      <c r="L134" s="167"/>
      <c r="M134" s="167"/>
      <c r="N134" s="167"/>
      <c r="O134" s="167"/>
      <c r="P134" s="167"/>
      <c r="Q134" s="167"/>
      <c r="R134" s="97"/>
      <c r="S134" s="144"/>
      <c r="T134" s="97"/>
    </row>
    <row r="135" spans="1:20" s="65" customFormat="1" ht="15.95" customHeight="1" x14ac:dyDescent="0.2">
      <c r="A135" s="115" t="s">
        <v>229</v>
      </c>
      <c r="B135" s="113"/>
      <c r="C135" s="61">
        <f>198363.1+404138.05-4196.85</f>
        <v>598304.30000000005</v>
      </c>
      <c r="D135" s="97"/>
      <c r="E135" s="97"/>
      <c r="F135" s="97"/>
      <c r="G135" s="97"/>
      <c r="H135" s="97"/>
      <c r="I135" s="97"/>
      <c r="J135" s="97"/>
      <c r="K135" s="97"/>
      <c r="L135" s="167"/>
      <c r="M135" s="167"/>
      <c r="N135" s="167"/>
      <c r="O135" s="167"/>
      <c r="P135" s="167"/>
      <c r="Q135" s="167"/>
      <c r="R135" s="97"/>
      <c r="S135" s="144"/>
      <c r="T135" s="97"/>
    </row>
    <row r="136" spans="1:20" s="65" customFormat="1" ht="15.95" customHeight="1" x14ac:dyDescent="0.2">
      <c r="A136" s="115" t="s">
        <v>91</v>
      </c>
      <c r="B136" s="113"/>
      <c r="C136" s="61">
        <f>+S20</f>
        <v>5352599.2300000004</v>
      </c>
      <c r="D136" s="97"/>
      <c r="E136" s="97"/>
      <c r="F136" s="97"/>
      <c r="G136" s="97"/>
      <c r="H136" s="97"/>
      <c r="I136" s="97"/>
      <c r="J136" s="97"/>
      <c r="K136" s="97"/>
      <c r="L136" s="167"/>
      <c r="M136" s="167"/>
      <c r="N136" s="167"/>
      <c r="O136" s="167"/>
      <c r="P136" s="167"/>
      <c r="Q136" s="167"/>
      <c r="R136" s="97"/>
      <c r="S136" s="144"/>
      <c r="T136" s="97"/>
    </row>
    <row r="137" spans="1:20" s="65" customFormat="1" ht="15.95" customHeight="1" x14ac:dyDescent="0.2">
      <c r="A137" s="115" t="s">
        <v>92</v>
      </c>
      <c r="B137" s="113"/>
      <c r="C137" s="116">
        <f>-S127</f>
        <v>-5186982.3600000003</v>
      </c>
      <c r="D137" s="97"/>
      <c r="E137" s="97"/>
      <c r="F137" s="97"/>
      <c r="G137" s="97"/>
      <c r="H137" s="97"/>
      <c r="I137" s="97"/>
      <c r="J137" s="97"/>
      <c r="K137" s="97"/>
      <c r="L137" s="167"/>
      <c r="M137" s="167"/>
      <c r="N137" s="167"/>
      <c r="O137" s="167"/>
      <c r="P137" s="167"/>
      <c r="Q137" s="167"/>
      <c r="R137" s="97"/>
      <c r="S137" s="144"/>
      <c r="T137" s="97"/>
    </row>
    <row r="138" spans="1:20" s="65" customFormat="1" ht="15.95" customHeight="1" x14ac:dyDescent="0.25">
      <c r="A138" s="117" t="s">
        <v>93</v>
      </c>
      <c r="B138" s="118"/>
      <c r="C138" s="119">
        <f>SUM(C135:C137)</f>
        <v>763921.16999999993</v>
      </c>
      <c r="D138" s="97"/>
      <c r="E138" s="97"/>
      <c r="F138" s="97"/>
      <c r="G138" s="97"/>
      <c r="H138" s="97"/>
      <c r="I138" s="97"/>
      <c r="J138" s="97"/>
      <c r="K138" s="97"/>
      <c r="L138" s="167"/>
      <c r="M138" s="167"/>
      <c r="N138" s="167"/>
      <c r="O138" s="167"/>
      <c r="P138" s="167"/>
      <c r="Q138" s="167"/>
      <c r="R138" s="97"/>
      <c r="S138" s="144"/>
      <c r="T138" s="97"/>
    </row>
    <row r="139" spans="1:20" s="65" customFormat="1" ht="8.1" customHeight="1" x14ac:dyDescent="0.25">
      <c r="A139" s="117"/>
      <c r="B139" s="118"/>
      <c r="C139" s="119"/>
      <c r="D139" s="97"/>
      <c r="E139" s="97"/>
      <c r="F139" s="97"/>
      <c r="G139" s="97"/>
      <c r="H139" s="97"/>
      <c r="I139" s="97"/>
      <c r="J139" s="97"/>
      <c r="K139" s="97"/>
      <c r="L139" s="167"/>
      <c r="M139" s="167"/>
      <c r="N139" s="167"/>
      <c r="O139" s="167"/>
      <c r="P139" s="167"/>
      <c r="Q139" s="167"/>
      <c r="R139" s="97"/>
      <c r="S139" s="144"/>
      <c r="T139" s="97"/>
    </row>
    <row r="140" spans="1:20" s="65" customFormat="1" ht="15.95" customHeight="1" x14ac:dyDescent="0.2">
      <c r="A140" s="112" t="s">
        <v>94</v>
      </c>
      <c r="B140" s="113"/>
      <c r="C140" s="61"/>
      <c r="D140" s="97"/>
      <c r="E140" s="97"/>
      <c r="F140" s="97"/>
      <c r="G140" s="97"/>
      <c r="H140" s="97"/>
      <c r="I140" s="97"/>
      <c r="J140" s="97"/>
      <c r="K140" s="97"/>
      <c r="L140" s="167"/>
      <c r="M140" s="167"/>
      <c r="N140" s="167"/>
      <c r="O140" s="167"/>
      <c r="P140" s="167"/>
      <c r="Q140" s="167"/>
      <c r="R140" s="97"/>
      <c r="S140" s="144"/>
      <c r="T140" s="97"/>
    </row>
    <row r="141" spans="1:20" s="65" customFormat="1" ht="15.95" customHeight="1" x14ac:dyDescent="0.2">
      <c r="A141" s="115" t="s">
        <v>95</v>
      </c>
      <c r="B141" s="113"/>
      <c r="C141" s="61">
        <v>3169.27</v>
      </c>
      <c r="D141" s="97"/>
      <c r="E141" s="97"/>
      <c r="F141" s="97"/>
      <c r="G141" s="97"/>
      <c r="H141" s="97"/>
      <c r="I141" s="97"/>
      <c r="J141" s="97"/>
      <c r="K141" s="97"/>
      <c r="L141" s="167"/>
      <c r="M141" s="167"/>
      <c r="N141" s="167"/>
      <c r="O141" s="167"/>
      <c r="P141" s="167"/>
      <c r="Q141" s="167"/>
      <c r="R141" s="97"/>
      <c r="S141" s="144"/>
      <c r="T141" s="97"/>
    </row>
    <row r="142" spans="1:20" s="65" customFormat="1" ht="15.95" customHeight="1" x14ac:dyDescent="0.2">
      <c r="A142" s="115" t="s">
        <v>280</v>
      </c>
      <c r="B142" s="113"/>
      <c r="C142" s="61">
        <v>219.61</v>
      </c>
      <c r="D142" s="97"/>
      <c r="E142" s="97"/>
      <c r="F142" s="97"/>
      <c r="G142" s="97"/>
      <c r="H142" s="97"/>
      <c r="I142" s="97"/>
      <c r="J142" s="97"/>
      <c r="K142" s="97"/>
      <c r="L142" s="167"/>
      <c r="M142" s="167"/>
      <c r="N142" s="167"/>
      <c r="O142" s="167"/>
      <c r="P142" s="167"/>
      <c r="Q142" s="167"/>
      <c r="R142" s="97"/>
      <c r="S142" s="144"/>
      <c r="T142" s="97"/>
    </row>
    <row r="143" spans="1:20" s="65" customFormat="1" ht="15.95" customHeight="1" x14ac:dyDescent="0.2">
      <c r="A143" s="115" t="s">
        <v>97</v>
      </c>
      <c r="B143" s="113"/>
      <c r="C143" s="148">
        <f>22603.07</f>
        <v>22603.07</v>
      </c>
      <c r="D143" s="97"/>
      <c r="E143" s="97"/>
      <c r="F143" s="97"/>
      <c r="G143" s="97"/>
      <c r="H143" s="97"/>
      <c r="I143" s="97"/>
      <c r="J143" s="97"/>
      <c r="K143" s="97"/>
      <c r="L143" s="167"/>
      <c r="M143" s="167"/>
      <c r="N143" s="167"/>
      <c r="O143" s="167"/>
      <c r="P143" s="167"/>
      <c r="Q143" s="167"/>
      <c r="R143" s="97"/>
      <c r="S143" s="144"/>
      <c r="T143" s="97"/>
    </row>
    <row r="144" spans="1:20" s="65" customFormat="1" ht="5.0999999999999996" customHeight="1" x14ac:dyDescent="0.2">
      <c r="A144" s="115"/>
      <c r="B144" s="113"/>
      <c r="C144" s="149"/>
      <c r="D144" s="97"/>
      <c r="E144" s="97"/>
      <c r="F144" s="97"/>
      <c r="G144" s="97"/>
      <c r="H144" s="97"/>
      <c r="I144" s="97"/>
      <c r="J144" s="97"/>
      <c r="K144" s="97"/>
      <c r="L144" s="167"/>
      <c r="M144" s="167"/>
      <c r="N144" s="167"/>
      <c r="O144" s="167"/>
      <c r="P144" s="167"/>
      <c r="Q144" s="167"/>
      <c r="R144" s="97"/>
      <c r="S144" s="144"/>
      <c r="T144" s="97"/>
    </row>
    <row r="145" spans="1:20" s="65" customFormat="1" ht="15.75" x14ac:dyDescent="0.25">
      <c r="A145" s="117"/>
      <c r="B145" s="118"/>
      <c r="C145" s="150">
        <f>SUM(C141:C144)</f>
        <v>25991.95</v>
      </c>
      <c r="D145" s="97"/>
      <c r="E145" s="97"/>
      <c r="F145" s="97"/>
      <c r="G145" s="97"/>
      <c r="H145" s="97"/>
      <c r="I145" s="97"/>
      <c r="J145" s="97"/>
      <c r="K145" s="97"/>
      <c r="L145" s="167"/>
      <c r="M145" s="167"/>
      <c r="N145" s="167"/>
      <c r="O145" s="167"/>
      <c r="P145" s="167"/>
      <c r="Q145" s="167"/>
      <c r="R145" s="97"/>
      <c r="S145" s="144"/>
      <c r="T145" s="97"/>
    </row>
    <row r="146" spans="1:20" s="65" customFormat="1" ht="5.0999999999999996" customHeight="1" x14ac:dyDescent="0.25">
      <c r="A146" s="117"/>
      <c r="B146" s="118"/>
      <c r="C146" s="151"/>
      <c r="D146" s="97"/>
      <c r="E146" s="97"/>
      <c r="F146" s="97"/>
      <c r="G146" s="97"/>
      <c r="H146" s="97"/>
      <c r="I146" s="97"/>
      <c r="J146" s="97"/>
      <c r="K146" s="97"/>
      <c r="L146" s="167"/>
      <c r="M146" s="167"/>
      <c r="N146" s="167"/>
      <c r="O146" s="167"/>
      <c r="P146" s="167"/>
      <c r="Q146" s="167"/>
      <c r="R146" s="97"/>
      <c r="S146" s="144"/>
      <c r="T146" s="97"/>
    </row>
    <row r="147" spans="1:20" s="65" customFormat="1" ht="8.1" customHeight="1" x14ac:dyDescent="0.25">
      <c r="A147" s="117"/>
      <c r="B147" s="118"/>
      <c r="C147" s="150"/>
      <c r="D147" s="97"/>
      <c r="E147" s="97"/>
      <c r="F147" s="97"/>
      <c r="G147" s="97"/>
      <c r="H147" s="97"/>
      <c r="I147" s="97"/>
      <c r="J147" s="97"/>
      <c r="K147" s="97"/>
      <c r="L147" s="167"/>
      <c r="M147" s="167"/>
      <c r="N147" s="167"/>
      <c r="O147" s="167"/>
      <c r="P147" s="167"/>
      <c r="Q147" s="167"/>
      <c r="R147" s="97"/>
      <c r="S147" s="144"/>
      <c r="T147" s="97"/>
    </row>
    <row r="148" spans="1:20" s="65" customFormat="1" ht="16.5" thickBot="1" x14ac:dyDescent="0.3">
      <c r="A148" s="121" t="s">
        <v>305</v>
      </c>
      <c r="B148" s="122"/>
      <c r="C148" s="152">
        <f>C138+C145</f>
        <v>789913.11999999988</v>
      </c>
      <c r="D148" s="97"/>
      <c r="E148" s="97"/>
      <c r="F148" s="97"/>
      <c r="G148" s="97"/>
      <c r="H148" s="97"/>
      <c r="I148" s="97"/>
      <c r="J148" s="97"/>
      <c r="K148" s="97"/>
      <c r="L148" s="156"/>
      <c r="M148" s="156"/>
      <c r="N148" s="156"/>
      <c r="O148" s="156"/>
      <c r="P148" s="156"/>
      <c r="Q148" s="156"/>
      <c r="R148" s="97"/>
      <c r="S148" s="144"/>
      <c r="T148" s="97"/>
    </row>
    <row r="149" spans="1:20" s="65" customFormat="1" ht="15" x14ac:dyDescent="0.2">
      <c r="C149" s="143"/>
      <c r="D149" s="97"/>
      <c r="E149" s="97"/>
      <c r="F149" s="97"/>
      <c r="G149" s="97"/>
      <c r="H149" s="97"/>
      <c r="I149" s="97"/>
      <c r="J149" s="97"/>
      <c r="K149" s="97"/>
      <c r="L149" s="156"/>
      <c r="M149" s="156"/>
      <c r="N149" s="156"/>
      <c r="O149" s="156"/>
      <c r="P149" s="156"/>
      <c r="Q149" s="156"/>
      <c r="R149" s="97"/>
      <c r="S149" s="144"/>
      <c r="T149" s="97"/>
    </row>
    <row r="150" spans="1:20" s="65" customFormat="1" ht="15" x14ac:dyDescent="0.2">
      <c r="C150" s="144"/>
      <c r="L150" s="156"/>
      <c r="M150" s="156"/>
      <c r="N150" s="156"/>
      <c r="O150" s="156"/>
      <c r="P150" s="156"/>
      <c r="Q150" s="156"/>
      <c r="S150" s="133"/>
    </row>
    <row r="151" spans="1:20" s="65" customFormat="1" ht="15" x14ac:dyDescent="0.2">
      <c r="B151" s="65" t="s">
        <v>306</v>
      </c>
      <c r="C151" s="133"/>
      <c r="L151" s="156"/>
      <c r="M151" s="156"/>
      <c r="N151" s="156"/>
      <c r="O151" s="156"/>
      <c r="P151" s="156"/>
      <c r="Q151" s="156"/>
      <c r="S151" s="133"/>
    </row>
    <row r="152" spans="1:20" s="65" customFormat="1" ht="15" x14ac:dyDescent="0.2">
      <c r="C152" s="133"/>
      <c r="L152" s="156"/>
      <c r="M152" s="156"/>
      <c r="N152" s="156"/>
      <c r="O152" s="156"/>
      <c r="P152" s="156"/>
      <c r="Q152" s="156"/>
      <c r="S152" s="133"/>
    </row>
    <row r="153" spans="1:20" s="65" customFormat="1" ht="15" x14ac:dyDescent="0.2">
      <c r="L153" s="156"/>
      <c r="M153" s="156"/>
      <c r="N153" s="156"/>
      <c r="O153" s="156"/>
      <c r="P153" s="156"/>
      <c r="Q153" s="156"/>
      <c r="S153" s="133"/>
    </row>
    <row r="154" spans="1:20" s="65" customFormat="1" ht="15" x14ac:dyDescent="0.2">
      <c r="L154" s="156"/>
      <c r="M154" s="156"/>
      <c r="N154" s="156"/>
      <c r="O154" s="156"/>
      <c r="P154" s="156"/>
      <c r="Q154" s="156"/>
      <c r="S154" s="133"/>
    </row>
    <row r="155" spans="1:20" s="65" customFormat="1" ht="15" x14ac:dyDescent="0.2">
      <c r="L155" s="156"/>
      <c r="M155" s="156"/>
      <c r="N155" s="156"/>
      <c r="O155" s="156"/>
      <c r="P155" s="156"/>
      <c r="Q155" s="156"/>
      <c r="S155" s="133"/>
    </row>
    <row r="156" spans="1:20" s="65" customFormat="1" ht="15" x14ac:dyDescent="0.2">
      <c r="L156" s="156"/>
      <c r="M156" s="156"/>
      <c r="N156" s="156"/>
      <c r="O156" s="156"/>
      <c r="P156" s="156"/>
      <c r="Q156" s="156"/>
      <c r="S156" s="133"/>
    </row>
    <row r="157" spans="1:20" s="65" customFormat="1" ht="15" x14ac:dyDescent="0.2">
      <c r="L157" s="156"/>
      <c r="M157" s="168"/>
      <c r="N157" s="156"/>
      <c r="O157" s="168"/>
      <c r="P157" s="156"/>
      <c r="Q157" s="168"/>
      <c r="S157" s="133"/>
    </row>
    <row r="158" spans="1:20" s="65" customFormat="1" ht="15" x14ac:dyDescent="0.2">
      <c r="L158" s="156"/>
      <c r="M158" s="168"/>
      <c r="N158" s="156"/>
      <c r="O158" s="168"/>
      <c r="P158" s="156"/>
      <c r="Q158" s="168"/>
      <c r="S158" s="133"/>
    </row>
    <row r="159" spans="1:20" s="65" customFormat="1" ht="15" x14ac:dyDescent="0.2">
      <c r="B159" s="65" t="s">
        <v>98</v>
      </c>
      <c r="G159" s="65" t="s">
        <v>99</v>
      </c>
      <c r="K159" s="124"/>
      <c r="L159" s="169"/>
      <c r="N159" s="65" t="s">
        <v>291</v>
      </c>
      <c r="O159" s="124"/>
      <c r="P159" s="65" t="s">
        <v>291</v>
      </c>
      <c r="Q159" s="124"/>
      <c r="R159" s="169"/>
      <c r="S159" s="169"/>
    </row>
    <row r="160" spans="1:20" s="65" customFormat="1" ht="15" x14ac:dyDescent="0.2">
      <c r="B160" s="65" t="s">
        <v>100</v>
      </c>
      <c r="G160" s="65" t="s">
        <v>101</v>
      </c>
      <c r="K160" s="124"/>
      <c r="L160" s="169"/>
      <c r="N160" s="65" t="s">
        <v>105</v>
      </c>
      <c r="O160" s="124"/>
      <c r="P160" s="65" t="s">
        <v>105</v>
      </c>
      <c r="Q160" s="124"/>
      <c r="R160" s="169"/>
      <c r="S160" s="169"/>
    </row>
    <row r="168" spans="7:7" x14ac:dyDescent="0.2">
      <c r="G168" s="130"/>
    </row>
  </sheetData>
  <mergeCells count="2">
    <mergeCell ref="B6:B7"/>
    <mergeCell ref="S6:S7"/>
  </mergeCells>
  <printOptions horizontalCentered="1"/>
  <pageMargins left="0.19685039370078741" right="0.19685039370078741" top="0.78740157480314965" bottom="0.78740157480314965" header="0.39370078740157483" footer="0.39370078740157483"/>
  <pageSetup scale="5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"/>
  <sheetViews>
    <sheetView showGridLines="0" tabSelected="1" zoomScale="85" zoomScaleNormal="85" workbookViewId="0">
      <selection activeCell="D13" sqref="D13"/>
    </sheetView>
  </sheetViews>
  <sheetFormatPr baseColWidth="10" defaultRowHeight="14.25" x14ac:dyDescent="0.2"/>
  <cols>
    <col min="1" max="1" width="11.28515625" style="66" customWidth="1"/>
    <col min="2" max="2" width="36.7109375" style="66" customWidth="1"/>
    <col min="3" max="3" width="16" style="66" customWidth="1"/>
    <col min="4" max="4" width="13.28515625" style="66" customWidth="1"/>
    <col min="5" max="11" width="12.85546875" style="66" customWidth="1"/>
    <col min="12" max="17" width="12.85546875" style="169" customWidth="1"/>
    <col min="18" max="18" width="16" style="66" customWidth="1"/>
    <col min="19" max="19" width="16" style="145" customWidth="1"/>
    <col min="20" max="20" width="16" style="66" customWidth="1"/>
    <col min="21" max="21" width="15.140625" style="66" customWidth="1"/>
    <col min="22" max="22" width="15.5703125" style="66" customWidth="1"/>
    <col min="23" max="23" width="10.7109375" style="66" customWidth="1"/>
    <col min="24" max="24" width="20.42578125" style="66" customWidth="1"/>
    <col min="25" max="25" width="18.7109375" style="66" customWidth="1"/>
    <col min="26" max="16384" width="11.42578125" style="66"/>
  </cols>
  <sheetData>
    <row r="1" spans="1:23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5"/>
      <c r="M1" s="155"/>
      <c r="N1" s="155"/>
      <c r="O1" s="155"/>
      <c r="P1" s="155"/>
      <c r="Q1" s="155"/>
      <c r="R1" s="64"/>
      <c r="S1" s="132"/>
      <c r="T1" s="64"/>
      <c r="U1" s="64"/>
      <c r="V1" s="65"/>
      <c r="W1" s="65"/>
    </row>
    <row r="2" spans="1:23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55"/>
      <c r="M2" s="155"/>
      <c r="N2" s="155"/>
      <c r="O2" s="155"/>
      <c r="P2" s="155"/>
      <c r="Q2" s="155"/>
      <c r="R2" s="64"/>
      <c r="S2" s="132"/>
      <c r="T2" s="64"/>
      <c r="U2" s="64"/>
      <c r="V2" s="65"/>
      <c r="W2" s="65"/>
    </row>
    <row r="3" spans="1:23" ht="15.75" x14ac:dyDescent="0.25">
      <c r="A3" s="64" t="s">
        <v>311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55"/>
      <c r="M3" s="155"/>
      <c r="N3" s="155"/>
      <c r="O3" s="155"/>
      <c r="P3" s="155"/>
      <c r="Q3" s="155"/>
      <c r="R3" s="64"/>
      <c r="S3" s="132"/>
      <c r="T3" s="64"/>
      <c r="U3" s="64"/>
      <c r="V3" s="65"/>
      <c r="W3" s="65"/>
    </row>
    <row r="4" spans="1:23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55"/>
      <c r="M4" s="155"/>
      <c r="N4" s="155"/>
      <c r="O4" s="155"/>
      <c r="P4" s="155"/>
      <c r="Q4" s="155"/>
      <c r="R4" s="64"/>
      <c r="S4" s="132"/>
      <c r="T4" s="64"/>
      <c r="U4" s="64"/>
      <c r="V4" s="65"/>
      <c r="W4" s="65"/>
    </row>
    <row r="5" spans="1:23" ht="15.7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156"/>
      <c r="M5" s="156"/>
      <c r="N5" s="156"/>
      <c r="O5" s="156"/>
      <c r="P5" s="156"/>
      <c r="Q5" s="156"/>
      <c r="R5" s="65"/>
      <c r="S5" s="133"/>
      <c r="T5" s="65"/>
      <c r="U5" s="65"/>
      <c r="V5" s="65"/>
      <c r="W5" s="65"/>
    </row>
    <row r="6" spans="1:23" ht="16.5" thickBot="1" x14ac:dyDescent="0.3">
      <c r="A6" s="67" t="s">
        <v>102</v>
      </c>
      <c r="B6" s="181" t="s">
        <v>5</v>
      </c>
      <c r="C6" s="68" t="s">
        <v>6</v>
      </c>
      <c r="D6" s="69" t="s">
        <v>7</v>
      </c>
      <c r="E6" s="69"/>
      <c r="F6" s="69" t="s">
        <v>8</v>
      </c>
      <c r="G6" s="69"/>
      <c r="H6" s="69" t="s">
        <v>9</v>
      </c>
      <c r="I6" s="69"/>
      <c r="J6" s="69" t="s">
        <v>295</v>
      </c>
      <c r="K6" s="69"/>
      <c r="L6" s="157" t="s">
        <v>308</v>
      </c>
      <c r="M6" s="157"/>
      <c r="N6" s="157" t="s">
        <v>309</v>
      </c>
      <c r="O6" s="157"/>
      <c r="P6" s="157" t="s">
        <v>319</v>
      </c>
      <c r="Q6" s="157"/>
      <c r="R6" s="67" t="s">
        <v>6</v>
      </c>
      <c r="S6" s="185" t="s">
        <v>10</v>
      </c>
      <c r="T6" s="67" t="s">
        <v>11</v>
      </c>
      <c r="U6" s="68" t="s">
        <v>12</v>
      </c>
      <c r="V6" s="65"/>
      <c r="W6" s="65"/>
    </row>
    <row r="7" spans="1:23" ht="16.5" thickBot="1" x14ac:dyDescent="0.3">
      <c r="A7" s="70" t="s">
        <v>103</v>
      </c>
      <c r="B7" s="182"/>
      <c r="C7" s="70" t="s">
        <v>13</v>
      </c>
      <c r="D7" s="70" t="s">
        <v>14</v>
      </c>
      <c r="E7" s="70" t="s">
        <v>310</v>
      </c>
      <c r="F7" s="70" t="s">
        <v>14</v>
      </c>
      <c r="G7" s="70" t="s">
        <v>310</v>
      </c>
      <c r="H7" s="70" t="s">
        <v>14</v>
      </c>
      <c r="I7" s="70" t="s">
        <v>310</v>
      </c>
      <c r="J7" s="70" t="s">
        <v>14</v>
      </c>
      <c r="K7" s="70" t="s">
        <v>310</v>
      </c>
      <c r="L7" s="158" t="s">
        <v>14</v>
      </c>
      <c r="M7" s="70" t="s">
        <v>310</v>
      </c>
      <c r="N7" s="158" t="s">
        <v>14</v>
      </c>
      <c r="O7" s="70" t="s">
        <v>310</v>
      </c>
      <c r="P7" s="158" t="s">
        <v>14</v>
      </c>
      <c r="Q7" s="70" t="s">
        <v>310</v>
      </c>
      <c r="R7" s="70" t="s">
        <v>16</v>
      </c>
      <c r="S7" s="186"/>
      <c r="T7" s="70" t="s">
        <v>17</v>
      </c>
      <c r="U7" s="71" t="s">
        <v>18</v>
      </c>
      <c r="V7" s="65"/>
      <c r="W7" s="65"/>
    </row>
    <row r="8" spans="1:23" s="65" customFormat="1" ht="17.100000000000001" customHeight="1" x14ac:dyDescent="0.25">
      <c r="A8" s="76"/>
      <c r="B8" s="85"/>
      <c r="C8" s="77"/>
      <c r="D8" s="77"/>
      <c r="E8" s="77"/>
      <c r="F8" s="77"/>
      <c r="G8" s="77"/>
      <c r="H8" s="77"/>
      <c r="I8" s="77"/>
      <c r="J8" s="77"/>
      <c r="K8" s="77"/>
      <c r="L8" s="161"/>
      <c r="M8" s="161"/>
      <c r="N8" s="161"/>
      <c r="O8" s="161"/>
      <c r="P8" s="161"/>
      <c r="Q8" s="161"/>
      <c r="R8" s="77"/>
      <c r="S8" s="136"/>
      <c r="T8" s="77"/>
      <c r="U8" s="78"/>
    </row>
    <row r="9" spans="1:23" s="113" customFormat="1" ht="8.1" customHeight="1" x14ac:dyDescent="0.2">
      <c r="A9" s="91"/>
      <c r="B9" s="91"/>
      <c r="C9" s="125"/>
      <c r="D9" s="125"/>
      <c r="E9" s="125"/>
      <c r="F9" s="125"/>
      <c r="G9" s="125"/>
      <c r="H9" s="125"/>
      <c r="I9" s="125"/>
      <c r="J9" s="125"/>
      <c r="K9" s="125"/>
      <c r="L9" s="159"/>
      <c r="M9" s="159"/>
      <c r="N9" s="159"/>
      <c r="O9" s="159"/>
      <c r="P9" s="159"/>
      <c r="Q9" s="159"/>
      <c r="R9" s="125"/>
      <c r="S9" s="134"/>
      <c r="T9" s="125"/>
      <c r="U9" s="91"/>
    </row>
    <row r="10" spans="1:23" s="113" customFormat="1" ht="17.100000000000001" customHeight="1" x14ac:dyDescent="0.25">
      <c r="A10" s="73"/>
      <c r="B10" s="74" t="s">
        <v>19</v>
      </c>
      <c r="C10" s="75"/>
      <c r="D10" s="75"/>
      <c r="E10" s="75"/>
      <c r="F10" s="75"/>
      <c r="G10" s="75"/>
      <c r="H10" s="75"/>
      <c r="I10" s="75"/>
      <c r="J10" s="75"/>
      <c r="K10" s="75"/>
      <c r="L10" s="160"/>
      <c r="M10" s="160"/>
      <c r="N10" s="160"/>
      <c r="O10" s="160"/>
      <c r="P10" s="160"/>
      <c r="Q10" s="160"/>
      <c r="R10" s="75"/>
      <c r="S10" s="135"/>
      <c r="T10" s="75"/>
      <c r="U10" s="73"/>
    </row>
    <row r="11" spans="1:23" s="65" customFormat="1" ht="17.100000000000001" customHeight="1" x14ac:dyDescent="0.25">
      <c r="A11" s="76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161"/>
      <c r="M11" s="161"/>
      <c r="N11" s="161"/>
      <c r="O11" s="161"/>
      <c r="P11" s="161"/>
      <c r="Q11" s="161"/>
      <c r="R11" s="77"/>
      <c r="S11" s="136"/>
      <c r="T11" s="77"/>
      <c r="U11" s="78"/>
    </row>
    <row r="12" spans="1:23" s="65" customFormat="1" ht="17.100000000000001" customHeight="1" x14ac:dyDescent="0.25">
      <c r="A12" s="72"/>
      <c r="B12" s="76" t="s">
        <v>20</v>
      </c>
      <c r="C12" s="77">
        <f>198363.1+404138.05</f>
        <v>602501.15</v>
      </c>
      <c r="D12" s="77"/>
      <c r="E12" s="77">
        <v>4196.8500000000004</v>
      </c>
      <c r="F12" s="77"/>
      <c r="G12" s="77"/>
      <c r="H12" s="77"/>
      <c r="I12" s="77"/>
      <c r="J12" s="77"/>
      <c r="K12" s="77"/>
      <c r="L12" s="161"/>
      <c r="M12" s="161"/>
      <c r="N12" s="161"/>
      <c r="O12" s="161"/>
      <c r="P12" s="161"/>
      <c r="Q12" s="161"/>
      <c r="R12" s="77">
        <f t="shared" ref="R12:R21" si="0">C12+D12-E12+F12-G12+H12-I12+J12-K12</f>
        <v>598304.30000000005</v>
      </c>
      <c r="S12" s="136">
        <v>0</v>
      </c>
      <c r="T12" s="77">
        <f>R12-S12</f>
        <v>598304.30000000005</v>
      </c>
      <c r="U12" s="78">
        <f t="shared" ref="U12:U21" si="1">S12/$S$23</f>
        <v>0</v>
      </c>
    </row>
    <row r="13" spans="1:23" s="65" customFormat="1" ht="17.100000000000001" customHeight="1" x14ac:dyDescent="0.2">
      <c r="A13" s="175" t="s">
        <v>241</v>
      </c>
      <c r="B13" s="72" t="s">
        <v>316</v>
      </c>
      <c r="C13" s="77">
        <v>15000</v>
      </c>
      <c r="D13" s="77">
        <v>13000</v>
      </c>
      <c r="E13" s="77"/>
      <c r="F13" s="77">
        <v>12500</v>
      </c>
      <c r="G13" s="77"/>
      <c r="H13" s="77"/>
      <c r="I13" s="77"/>
      <c r="J13" s="77"/>
      <c r="K13" s="77"/>
      <c r="L13" s="161"/>
      <c r="M13" s="161"/>
      <c r="N13" s="161"/>
      <c r="O13" s="161"/>
      <c r="P13" s="161"/>
      <c r="Q13" s="161"/>
      <c r="R13" s="77">
        <f t="shared" si="0"/>
        <v>40500</v>
      </c>
      <c r="S13" s="136">
        <v>32432</v>
      </c>
      <c r="T13" s="77">
        <f>R13-S13</f>
        <v>8068</v>
      </c>
      <c r="U13" s="78">
        <f t="shared" si="1"/>
        <v>5.6901286239083434E-3</v>
      </c>
    </row>
    <row r="14" spans="1:23" s="65" customFormat="1" ht="17.100000000000001" customHeight="1" x14ac:dyDescent="0.2">
      <c r="A14" s="175" t="s">
        <v>242</v>
      </c>
      <c r="B14" s="72" t="s">
        <v>317</v>
      </c>
      <c r="C14" s="77">
        <v>65000</v>
      </c>
      <c r="D14" s="77"/>
      <c r="E14" s="77"/>
      <c r="F14" s="77"/>
      <c r="G14" s="77"/>
      <c r="H14" s="77"/>
      <c r="I14" s="77"/>
      <c r="J14" s="77"/>
      <c r="K14" s="77"/>
      <c r="L14" s="161"/>
      <c r="M14" s="161"/>
      <c r="N14" s="161"/>
      <c r="O14" s="161"/>
      <c r="P14" s="161"/>
      <c r="Q14" s="161"/>
      <c r="R14" s="77">
        <f t="shared" si="0"/>
        <v>65000</v>
      </c>
      <c r="S14" s="136">
        <v>65248.72</v>
      </c>
      <c r="T14" s="77">
        <f>R14-S14</f>
        <v>-248.72000000000116</v>
      </c>
      <c r="U14" s="78">
        <f t="shared" si="1"/>
        <v>1.1447755591557128E-2</v>
      </c>
    </row>
    <row r="15" spans="1:23" s="65" customFormat="1" ht="17.100000000000001" customHeight="1" x14ac:dyDescent="0.2">
      <c r="A15" s="176" t="s">
        <v>243</v>
      </c>
      <c r="B15" s="72" t="s">
        <v>318</v>
      </c>
      <c r="C15" s="77">
        <v>3500</v>
      </c>
      <c r="D15" s="77"/>
      <c r="E15" s="77"/>
      <c r="F15" s="77"/>
      <c r="G15" s="77"/>
      <c r="H15" s="77"/>
      <c r="I15" s="77"/>
      <c r="J15" s="77"/>
      <c r="K15" s="77"/>
      <c r="L15" s="161"/>
      <c r="M15" s="161"/>
      <c r="N15" s="161"/>
      <c r="O15" s="161"/>
      <c r="P15" s="161"/>
      <c r="Q15" s="161"/>
      <c r="R15" s="77">
        <f t="shared" si="0"/>
        <v>3500</v>
      </c>
      <c r="S15" s="136">
        <v>0</v>
      </c>
      <c r="T15" s="77">
        <f t="shared" ref="T15:T16" si="2">R15-S15</f>
        <v>3500</v>
      </c>
      <c r="U15" s="78">
        <f t="shared" si="1"/>
        <v>0</v>
      </c>
    </row>
    <row r="16" spans="1:23" s="65" customFormat="1" ht="17.100000000000001" customHeight="1" x14ac:dyDescent="0.2">
      <c r="A16" s="176">
        <v>15.1</v>
      </c>
      <c r="B16" s="72" t="s">
        <v>247</v>
      </c>
      <c r="C16" s="77">
        <v>3000</v>
      </c>
      <c r="D16" s="77"/>
      <c r="E16" s="77"/>
      <c r="F16" s="77"/>
      <c r="G16" s="77"/>
      <c r="H16" s="77"/>
      <c r="I16" s="77"/>
      <c r="J16" s="77"/>
      <c r="K16" s="77"/>
      <c r="L16" s="161"/>
      <c r="M16" s="161"/>
      <c r="N16" s="161"/>
      <c r="O16" s="161"/>
      <c r="P16" s="161"/>
      <c r="Q16" s="161"/>
      <c r="R16" s="77">
        <f t="shared" si="0"/>
        <v>3000</v>
      </c>
      <c r="S16" s="136">
        <v>2187.37</v>
      </c>
      <c r="T16" s="77">
        <f t="shared" si="2"/>
        <v>812.63000000000011</v>
      </c>
      <c r="U16" s="78">
        <f t="shared" si="1"/>
        <v>3.8376963024415369E-4</v>
      </c>
    </row>
    <row r="17" spans="1:21" s="65" customFormat="1" ht="17.100000000000001" customHeight="1" x14ac:dyDescent="0.2">
      <c r="A17" s="175" t="s">
        <v>24</v>
      </c>
      <c r="B17" s="72" t="s">
        <v>25</v>
      </c>
      <c r="C17" s="77">
        <v>2745062.93</v>
      </c>
      <c r="D17" s="77">
        <v>95966.17</v>
      </c>
      <c r="E17" s="77"/>
      <c r="F17" s="77"/>
      <c r="G17" s="77"/>
      <c r="H17" s="77"/>
      <c r="I17" s="77"/>
      <c r="J17" s="77"/>
      <c r="K17" s="77"/>
      <c r="L17" s="161"/>
      <c r="M17" s="161"/>
      <c r="N17" s="161"/>
      <c r="O17" s="161"/>
      <c r="P17" s="161"/>
      <c r="Q17" s="161"/>
      <c r="R17" s="77">
        <f t="shared" si="0"/>
        <v>2841029.1</v>
      </c>
      <c r="S17" s="136">
        <v>2791798.93</v>
      </c>
      <c r="T17" s="77">
        <f>R17-S17</f>
        <v>49230.169999999925</v>
      </c>
      <c r="U17" s="78">
        <f t="shared" si="1"/>
        <v>0.48981546015631738</v>
      </c>
    </row>
    <row r="18" spans="1:21" s="65" customFormat="1" ht="17.100000000000001" customHeight="1" x14ac:dyDescent="0.2">
      <c r="A18" s="175" t="s">
        <v>26</v>
      </c>
      <c r="B18" s="72" t="s">
        <v>27</v>
      </c>
      <c r="C18" s="77">
        <v>4934974.71</v>
      </c>
      <c r="D18" s="77"/>
      <c r="E18" s="77"/>
      <c r="F18" s="77"/>
      <c r="G18" s="77"/>
      <c r="H18" s="77"/>
      <c r="I18" s="77"/>
      <c r="J18" s="77"/>
      <c r="K18" s="77"/>
      <c r="L18" s="161"/>
      <c r="M18" s="161"/>
      <c r="N18" s="161"/>
      <c r="O18" s="161"/>
      <c r="P18" s="161"/>
      <c r="Q18" s="161"/>
      <c r="R18" s="77">
        <f t="shared" si="0"/>
        <v>4934974.71</v>
      </c>
      <c r="S18" s="136">
        <v>260706.83</v>
      </c>
      <c r="T18" s="77">
        <f t="shared" ref="T18:T21" si="3">R18-S18</f>
        <v>4674267.88</v>
      </c>
      <c r="U18" s="78">
        <f t="shared" si="1"/>
        <v>4.5740484577929397E-2</v>
      </c>
    </row>
    <row r="19" spans="1:21" s="65" customFormat="1" ht="17.100000000000001" customHeight="1" x14ac:dyDescent="0.2">
      <c r="A19" s="175" t="s">
        <v>28</v>
      </c>
      <c r="B19" s="72" t="s">
        <v>29</v>
      </c>
      <c r="C19" s="77">
        <v>1290000</v>
      </c>
      <c r="D19" s="77"/>
      <c r="E19" s="77">
        <v>8059.23</v>
      </c>
      <c r="F19" s="77">
        <v>242187</v>
      </c>
      <c r="G19" s="77"/>
      <c r="H19" s="77">
        <v>240000</v>
      </c>
      <c r="I19" s="77"/>
      <c r="J19" s="77"/>
      <c r="K19" s="77"/>
      <c r="L19" s="161"/>
      <c r="M19" s="161"/>
      <c r="N19" s="161"/>
      <c r="O19" s="161"/>
      <c r="P19" s="161"/>
      <c r="Q19" s="161"/>
      <c r="R19" s="77">
        <f t="shared" si="0"/>
        <v>1764127.77</v>
      </c>
      <c r="S19" s="136">
        <v>1752535.75</v>
      </c>
      <c r="T19" s="77">
        <f t="shared" si="3"/>
        <v>11592.020000000019</v>
      </c>
      <c r="U19" s="78">
        <f t="shared" si="1"/>
        <v>0.30747884297908473</v>
      </c>
    </row>
    <row r="20" spans="1:21" s="65" customFormat="1" ht="17.100000000000001" customHeight="1" x14ac:dyDescent="0.2">
      <c r="A20" s="175" t="s">
        <v>30</v>
      </c>
      <c r="B20" s="72" t="s">
        <v>31</v>
      </c>
      <c r="C20" s="77">
        <v>20000</v>
      </c>
      <c r="D20" s="77"/>
      <c r="E20" s="77"/>
      <c r="F20" s="77"/>
      <c r="G20" s="77"/>
      <c r="H20" s="77"/>
      <c r="I20" s="77"/>
      <c r="J20" s="77"/>
      <c r="K20" s="77"/>
      <c r="L20" s="161"/>
      <c r="M20" s="161"/>
      <c r="N20" s="161"/>
      <c r="O20" s="161"/>
      <c r="P20" s="161"/>
      <c r="Q20" s="161"/>
      <c r="R20" s="77">
        <f t="shared" si="0"/>
        <v>20000</v>
      </c>
      <c r="S20" s="136">
        <v>20000</v>
      </c>
      <c r="T20" s="77">
        <f t="shared" si="3"/>
        <v>0</v>
      </c>
      <c r="U20" s="78">
        <f t="shared" si="1"/>
        <v>3.5089594375359787E-3</v>
      </c>
    </row>
    <row r="21" spans="1:21" s="65" customFormat="1" ht="17.100000000000001" customHeight="1" x14ac:dyDescent="0.2">
      <c r="A21" s="72"/>
      <c r="B21" s="72" t="s">
        <v>32</v>
      </c>
      <c r="C21" s="77">
        <f>850000+14137.2+261097.2</f>
        <v>1125234.3999999999</v>
      </c>
      <c r="D21" s="77"/>
      <c r="E21" s="77"/>
      <c r="F21" s="77"/>
      <c r="G21" s="77"/>
      <c r="H21" s="77"/>
      <c r="I21" s="77"/>
      <c r="J21" s="77"/>
      <c r="K21" s="77"/>
      <c r="L21" s="161"/>
      <c r="M21" s="161"/>
      <c r="N21" s="161"/>
      <c r="O21" s="161"/>
      <c r="P21" s="161"/>
      <c r="Q21" s="161"/>
      <c r="R21" s="77">
        <f t="shared" si="0"/>
        <v>1125234.3999999999</v>
      </c>
      <c r="S21" s="136">
        <v>774785.81</v>
      </c>
      <c r="T21" s="77">
        <f t="shared" si="3"/>
        <v>350448.58999999985</v>
      </c>
      <c r="U21" s="78">
        <f t="shared" si="1"/>
        <v>0.13593459900342289</v>
      </c>
    </row>
    <row r="22" spans="1:21" s="65" customFormat="1" ht="17.100000000000001" customHeight="1" thickBot="1" x14ac:dyDescent="0.3">
      <c r="A22" s="76"/>
      <c r="B22" s="85"/>
      <c r="C22" s="77"/>
      <c r="D22" s="77"/>
      <c r="E22" s="77"/>
      <c r="F22" s="77"/>
      <c r="G22" s="77"/>
      <c r="H22" s="77"/>
      <c r="I22" s="77"/>
      <c r="J22" s="77"/>
      <c r="K22" s="77"/>
      <c r="L22" s="161"/>
      <c r="M22" s="161"/>
      <c r="N22" s="161"/>
      <c r="O22" s="161"/>
      <c r="P22" s="161"/>
      <c r="Q22" s="161"/>
      <c r="R22" s="77"/>
      <c r="S22" s="136"/>
      <c r="T22" s="77"/>
      <c r="U22" s="78"/>
    </row>
    <row r="23" spans="1:21" s="65" customFormat="1" ht="17.100000000000001" customHeight="1" thickBot="1" x14ac:dyDescent="0.3">
      <c r="A23" s="80"/>
      <c r="B23" s="80" t="s">
        <v>33</v>
      </c>
      <c r="C23" s="81">
        <f>SUM(C12:C21)</f>
        <v>10804273.189999999</v>
      </c>
      <c r="D23" s="81">
        <f>SUM(D12:D21)</f>
        <v>108966.17</v>
      </c>
      <c r="E23" s="81">
        <f>SUM(E12:E21)</f>
        <v>12256.08</v>
      </c>
      <c r="F23" s="81">
        <f t="shared" ref="F23:O23" si="4">SUM(F13:F20)</f>
        <v>254687</v>
      </c>
      <c r="G23" s="81">
        <f t="shared" si="4"/>
        <v>0</v>
      </c>
      <c r="H23" s="81">
        <f t="shared" si="4"/>
        <v>240000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162">
        <f t="shared" si="4"/>
        <v>0</v>
      </c>
      <c r="M23" s="162">
        <f t="shared" si="4"/>
        <v>0</v>
      </c>
      <c r="N23" s="162">
        <f t="shared" si="4"/>
        <v>0</v>
      </c>
      <c r="O23" s="162">
        <f t="shared" si="4"/>
        <v>0</v>
      </c>
      <c r="P23" s="162"/>
      <c r="Q23" s="162"/>
      <c r="R23" s="81">
        <f>SUM(R12:R21)</f>
        <v>11395670.279999999</v>
      </c>
      <c r="S23" s="137">
        <f>SUM(S12:S21)</f>
        <v>5699695.4100000001</v>
      </c>
      <c r="T23" s="81">
        <f>SUM(T12:T21)</f>
        <v>5695974.8699999992</v>
      </c>
      <c r="U23" s="82">
        <v>0</v>
      </c>
    </row>
    <row r="24" spans="1:21" s="65" customFormat="1" ht="17.100000000000001" customHeight="1" x14ac:dyDescent="0.25">
      <c r="A24" s="76"/>
      <c r="B24" s="85"/>
      <c r="C24" s="77"/>
      <c r="D24" s="77"/>
      <c r="E24" s="77"/>
      <c r="F24" s="77"/>
      <c r="G24" s="77"/>
      <c r="H24" s="77"/>
      <c r="I24" s="77"/>
      <c r="J24" s="77"/>
      <c r="K24" s="77"/>
      <c r="L24" s="161"/>
      <c r="M24" s="161"/>
      <c r="N24" s="161"/>
      <c r="O24" s="161"/>
      <c r="P24" s="161"/>
      <c r="Q24" s="161"/>
      <c r="R24" s="77"/>
      <c r="S24" s="136"/>
      <c r="T24" s="77"/>
      <c r="U24" s="78"/>
    </row>
    <row r="25" spans="1:21" s="65" customFormat="1" ht="17.100000000000001" customHeight="1" x14ac:dyDescent="0.25">
      <c r="A25" s="76"/>
      <c r="B25" s="85"/>
      <c r="C25" s="77"/>
      <c r="D25" s="77"/>
      <c r="E25" s="77"/>
      <c r="F25" s="77"/>
      <c r="G25" s="77"/>
      <c r="H25" s="77"/>
      <c r="I25" s="77"/>
      <c r="J25" s="77"/>
      <c r="K25" s="77"/>
      <c r="L25" s="161"/>
      <c r="M25" s="161"/>
      <c r="N25" s="161"/>
      <c r="O25" s="161"/>
      <c r="P25" s="161"/>
      <c r="Q25" s="161"/>
      <c r="R25" s="77"/>
      <c r="S25" s="136"/>
      <c r="T25" s="77"/>
      <c r="U25" s="78"/>
    </row>
    <row r="26" spans="1:21" s="113" customFormat="1" ht="8.1" customHeight="1" x14ac:dyDescent="0.2">
      <c r="A26" s="126"/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63"/>
      <c r="M26" s="163"/>
      <c r="N26" s="163"/>
      <c r="O26" s="163"/>
      <c r="P26" s="163"/>
      <c r="Q26" s="163"/>
      <c r="R26" s="127"/>
      <c r="S26" s="138"/>
      <c r="T26" s="127"/>
      <c r="U26" s="128"/>
    </row>
    <row r="27" spans="1:21" s="113" customFormat="1" ht="17.100000000000001" customHeight="1" x14ac:dyDescent="0.25">
      <c r="A27" s="129" t="s">
        <v>4</v>
      </c>
      <c r="B27" s="74" t="s">
        <v>34</v>
      </c>
      <c r="C27" s="83"/>
      <c r="D27" s="83"/>
      <c r="E27" s="83"/>
      <c r="F27" s="83"/>
      <c r="G27" s="83"/>
      <c r="H27" s="83"/>
      <c r="I27" s="83"/>
      <c r="J27" s="83"/>
      <c r="K27" s="83"/>
      <c r="L27" s="164"/>
      <c r="M27" s="164"/>
      <c r="N27" s="164"/>
      <c r="O27" s="164"/>
      <c r="P27" s="164"/>
      <c r="Q27" s="164"/>
      <c r="R27" s="83"/>
      <c r="S27" s="139"/>
      <c r="T27" s="83"/>
      <c r="U27" s="84"/>
    </row>
    <row r="28" spans="1:21" s="113" customFormat="1" ht="17.100000000000001" customHeight="1" x14ac:dyDescent="0.25">
      <c r="A28" s="129"/>
      <c r="B28" s="74"/>
      <c r="C28" s="83"/>
      <c r="D28" s="83"/>
      <c r="E28" s="83"/>
      <c r="F28" s="83"/>
      <c r="G28" s="83"/>
      <c r="H28" s="83"/>
      <c r="I28" s="83"/>
      <c r="J28" s="83"/>
      <c r="K28" s="83"/>
      <c r="L28" s="164"/>
      <c r="M28" s="164"/>
      <c r="N28" s="164"/>
      <c r="O28" s="164"/>
      <c r="P28" s="164"/>
      <c r="Q28" s="164"/>
      <c r="R28" s="83"/>
      <c r="S28" s="139"/>
      <c r="T28" s="83"/>
      <c r="U28" s="84"/>
    </row>
    <row r="29" spans="1:21" s="113" customFormat="1" ht="17.100000000000001" customHeight="1" x14ac:dyDescent="0.25">
      <c r="A29" s="129"/>
      <c r="B29" s="74"/>
      <c r="C29" s="83"/>
      <c r="D29" s="83"/>
      <c r="E29" s="83"/>
      <c r="F29" s="83"/>
      <c r="G29" s="83"/>
      <c r="H29" s="83"/>
      <c r="I29" s="83"/>
      <c r="J29" s="83"/>
      <c r="K29" s="83"/>
      <c r="L29" s="164"/>
      <c r="M29" s="164"/>
      <c r="N29" s="164"/>
      <c r="O29" s="164"/>
      <c r="P29" s="164"/>
      <c r="Q29" s="164"/>
      <c r="R29" s="83"/>
      <c r="S29" s="139"/>
      <c r="T29" s="83"/>
      <c r="U29" s="84"/>
    </row>
    <row r="30" spans="1:21" s="65" customFormat="1" ht="17.100000000000001" customHeight="1" x14ac:dyDescent="0.25">
      <c r="A30" s="76"/>
      <c r="B30" s="85"/>
      <c r="C30" s="77"/>
      <c r="D30" s="77"/>
      <c r="E30" s="77"/>
      <c r="F30" s="77"/>
      <c r="G30" s="77"/>
      <c r="H30" s="77"/>
      <c r="I30" s="77"/>
      <c r="J30" s="77"/>
      <c r="K30" s="77"/>
      <c r="L30" s="161"/>
      <c r="M30" s="161"/>
      <c r="N30" s="161"/>
      <c r="O30" s="161"/>
      <c r="P30" s="161"/>
      <c r="Q30" s="161"/>
      <c r="R30" s="77"/>
      <c r="S30" s="136"/>
      <c r="T30" s="77"/>
      <c r="U30" s="78"/>
    </row>
    <row r="31" spans="1:21" s="65" customFormat="1" ht="17.100000000000001" customHeight="1" x14ac:dyDescent="0.25">
      <c r="A31" s="86">
        <v>0</v>
      </c>
      <c r="B31" s="87" t="s">
        <v>35</v>
      </c>
      <c r="C31" s="77"/>
      <c r="D31" s="77"/>
      <c r="E31" s="77"/>
      <c r="F31" s="77"/>
      <c r="G31" s="77"/>
      <c r="H31" s="77"/>
      <c r="I31" s="77"/>
      <c r="J31" s="77"/>
      <c r="K31" s="77"/>
      <c r="L31" s="161"/>
      <c r="M31" s="161"/>
      <c r="N31" s="161"/>
      <c r="O31" s="161"/>
      <c r="P31" s="161"/>
      <c r="Q31" s="161"/>
      <c r="R31" s="77"/>
      <c r="S31" s="136"/>
      <c r="T31" s="77"/>
      <c r="U31" s="78"/>
    </row>
    <row r="32" spans="1:21" s="65" customFormat="1" ht="17.100000000000001" customHeight="1" x14ac:dyDescent="0.2">
      <c r="A32" s="88" t="s">
        <v>36</v>
      </c>
      <c r="B32" s="72" t="s">
        <v>106</v>
      </c>
      <c r="C32" s="77">
        <v>773194.52</v>
      </c>
      <c r="D32" s="77"/>
      <c r="E32" s="77"/>
      <c r="F32" s="77"/>
      <c r="G32" s="77"/>
      <c r="H32" s="77"/>
      <c r="I32" s="77"/>
      <c r="J32" s="77"/>
      <c r="K32" s="77"/>
      <c r="L32" s="161"/>
      <c r="M32" s="161"/>
      <c r="N32" s="161"/>
      <c r="O32" s="161"/>
      <c r="P32" s="161"/>
      <c r="Q32" s="161"/>
      <c r="R32" s="77">
        <f>C32+D32-E32+F32-G32+H32-I32+J32-K32+L32-M32+N32-O32+P32-Q32</f>
        <v>773194.52</v>
      </c>
      <c r="S32" s="136">
        <v>715014.91999999993</v>
      </c>
      <c r="T32" s="77">
        <f t="shared" ref="T32:T100" si="5">R32-S32</f>
        <v>58179.600000000093</v>
      </c>
      <c r="U32" s="78">
        <f t="shared" ref="U32:U43" si="6">S32/$S$140</f>
        <v>0.1304240640284082</v>
      </c>
    </row>
    <row r="33" spans="1:23" s="65" customFormat="1" ht="17.100000000000001" customHeight="1" x14ac:dyDescent="0.2">
      <c r="A33" s="88" t="s">
        <v>37</v>
      </c>
      <c r="B33" s="72" t="s">
        <v>107</v>
      </c>
      <c r="C33" s="77">
        <v>4500</v>
      </c>
      <c r="D33" s="77"/>
      <c r="E33" s="77"/>
      <c r="F33" s="77"/>
      <c r="G33" s="77"/>
      <c r="H33" s="77"/>
      <c r="I33" s="77"/>
      <c r="J33" s="77"/>
      <c r="K33" s="77"/>
      <c r="L33" s="161"/>
      <c r="M33" s="161"/>
      <c r="N33" s="161"/>
      <c r="O33" s="161"/>
      <c r="P33" s="161"/>
      <c r="Q33" s="161"/>
      <c r="R33" s="77">
        <f t="shared" ref="R33:R99" si="7">C33+D33-E33+F33-G33+H33-I33+J33-K33+L33-M33+N33-O33+P33-Q33</f>
        <v>4500</v>
      </c>
      <c r="S33" s="136">
        <v>4500</v>
      </c>
      <c r="T33" s="77">
        <f t="shared" si="5"/>
        <v>0</v>
      </c>
      <c r="U33" s="78">
        <f t="shared" si="6"/>
        <v>8.2083362418204782E-4</v>
      </c>
    </row>
    <row r="34" spans="1:23" s="65" customFormat="1" ht="17.100000000000001" customHeight="1" x14ac:dyDescent="0.2">
      <c r="A34" s="88" t="s">
        <v>38</v>
      </c>
      <c r="B34" s="72" t="s">
        <v>108</v>
      </c>
      <c r="C34" s="77">
        <v>140850</v>
      </c>
      <c r="D34" s="77"/>
      <c r="E34" s="77"/>
      <c r="F34" s="77"/>
      <c r="G34" s="77"/>
      <c r="H34" s="77">
        <v>20000</v>
      </c>
      <c r="I34" s="77"/>
      <c r="J34" s="77"/>
      <c r="K34" s="77"/>
      <c r="L34" s="161"/>
      <c r="M34" s="161"/>
      <c r="N34" s="161"/>
      <c r="O34" s="161"/>
      <c r="P34" s="161"/>
      <c r="Q34" s="161"/>
      <c r="R34" s="77">
        <f t="shared" si="7"/>
        <v>160850</v>
      </c>
      <c r="S34" s="136">
        <v>126558.86</v>
      </c>
      <c r="T34" s="77">
        <f t="shared" si="5"/>
        <v>34291.14</v>
      </c>
      <c r="U34" s="78">
        <f t="shared" si="6"/>
        <v>2.3085281716921868E-2</v>
      </c>
    </row>
    <row r="35" spans="1:23" s="65" customFormat="1" ht="17.100000000000001" customHeight="1" x14ac:dyDescent="0.2">
      <c r="A35" s="131" t="s">
        <v>281</v>
      </c>
      <c r="B35" s="72" t="s">
        <v>282</v>
      </c>
      <c r="C35" s="77">
        <v>0</v>
      </c>
      <c r="D35" s="77"/>
      <c r="E35" s="77"/>
      <c r="F35" s="77">
        <v>79750</v>
      </c>
      <c r="G35" s="77"/>
      <c r="H35" s="77"/>
      <c r="I35" s="77"/>
      <c r="J35" s="77"/>
      <c r="K35" s="77"/>
      <c r="L35" s="161"/>
      <c r="M35" s="161"/>
      <c r="N35" s="161"/>
      <c r="O35" s="161"/>
      <c r="P35" s="161"/>
      <c r="Q35" s="161"/>
      <c r="R35" s="77">
        <f t="shared" si="7"/>
        <v>79750</v>
      </c>
      <c r="S35" s="136">
        <v>18741.939999999999</v>
      </c>
      <c r="T35" s="77">
        <f t="shared" si="5"/>
        <v>61008.06</v>
      </c>
      <c r="U35" s="78">
        <f t="shared" si="6"/>
        <v>3.4186698965338862E-3</v>
      </c>
    </row>
    <row r="36" spans="1:23" s="65" customFormat="1" ht="17.100000000000001" customHeight="1" x14ac:dyDescent="0.2">
      <c r="A36" s="88" t="s">
        <v>40</v>
      </c>
      <c r="B36" s="72" t="s">
        <v>283</v>
      </c>
      <c r="C36" s="77">
        <v>0</v>
      </c>
      <c r="D36" s="77"/>
      <c r="E36" s="77"/>
      <c r="F36" s="77">
        <v>3250</v>
      </c>
      <c r="G36" s="77"/>
      <c r="H36" s="77"/>
      <c r="I36" s="77"/>
      <c r="J36" s="77"/>
      <c r="K36" s="77"/>
      <c r="L36" s="161"/>
      <c r="M36" s="161"/>
      <c r="N36" s="161"/>
      <c r="O36" s="161"/>
      <c r="P36" s="161"/>
      <c r="Q36" s="161"/>
      <c r="R36" s="77">
        <f t="shared" si="7"/>
        <v>3250</v>
      </c>
      <c r="S36" s="136">
        <v>1395.1599999999999</v>
      </c>
      <c r="T36" s="77">
        <f t="shared" si="5"/>
        <v>1854.8400000000001</v>
      </c>
      <c r="U36" s="78">
        <f t="shared" si="6"/>
        <v>2.5448760869196127E-4</v>
      </c>
    </row>
    <row r="37" spans="1:23" s="65" customFormat="1" ht="17.100000000000001" customHeight="1" x14ac:dyDescent="0.2">
      <c r="A37" s="88" t="s">
        <v>41</v>
      </c>
      <c r="B37" s="72" t="s">
        <v>110</v>
      </c>
      <c r="C37" s="77">
        <v>15400</v>
      </c>
      <c r="D37" s="77"/>
      <c r="E37" s="77"/>
      <c r="F37" s="77"/>
      <c r="G37" s="77"/>
      <c r="H37" s="77"/>
      <c r="I37" s="77"/>
      <c r="J37" s="77"/>
      <c r="K37" s="77"/>
      <c r="L37" s="161"/>
      <c r="M37" s="161"/>
      <c r="N37" s="161"/>
      <c r="O37" s="161"/>
      <c r="P37" s="161"/>
      <c r="Q37" s="161"/>
      <c r="R37" s="77">
        <f t="shared" si="7"/>
        <v>15400</v>
      </c>
      <c r="S37" s="136">
        <v>13852.64</v>
      </c>
      <c r="T37" s="77">
        <f t="shared" si="5"/>
        <v>1547.3600000000006</v>
      </c>
      <c r="U37" s="78">
        <f t="shared" si="6"/>
        <v>2.5268250434864895E-3</v>
      </c>
    </row>
    <row r="38" spans="1:23" s="65" customFormat="1" ht="17.100000000000001" customHeight="1" x14ac:dyDescent="0.2">
      <c r="A38" s="88" t="s">
        <v>42</v>
      </c>
      <c r="B38" s="72" t="s">
        <v>111</v>
      </c>
      <c r="C38" s="77">
        <v>42629.35</v>
      </c>
      <c r="D38" s="77"/>
      <c r="E38" s="77"/>
      <c r="F38" s="77"/>
      <c r="G38" s="77"/>
      <c r="H38" s="77">
        <v>25000</v>
      </c>
      <c r="I38" s="77"/>
      <c r="J38" s="77"/>
      <c r="K38" s="77"/>
      <c r="L38" s="161"/>
      <c r="M38" s="161"/>
      <c r="N38" s="161"/>
      <c r="O38" s="161"/>
      <c r="P38" s="161"/>
      <c r="Q38" s="161"/>
      <c r="R38" s="77">
        <f t="shared" si="7"/>
        <v>67629.350000000006</v>
      </c>
      <c r="S38" s="136">
        <v>46361.99</v>
      </c>
      <c r="T38" s="77">
        <f t="shared" si="5"/>
        <v>21267.360000000008</v>
      </c>
      <c r="U38" s="78">
        <f t="shared" si="6"/>
        <v>8.4567733946648571E-3</v>
      </c>
    </row>
    <row r="39" spans="1:23" s="65" customFormat="1" ht="17.100000000000001" customHeight="1" x14ac:dyDescent="0.2">
      <c r="A39" s="88" t="s">
        <v>43</v>
      </c>
      <c r="B39" s="72" t="s">
        <v>234</v>
      </c>
      <c r="C39" s="77">
        <v>89741</v>
      </c>
      <c r="D39" s="77"/>
      <c r="E39" s="77"/>
      <c r="F39" s="77"/>
      <c r="G39" s="77"/>
      <c r="H39" s="77">
        <v>3500</v>
      </c>
      <c r="I39" s="77"/>
      <c r="J39" s="77"/>
      <c r="K39" s="77"/>
      <c r="L39" s="161"/>
      <c r="M39" s="161"/>
      <c r="N39" s="161"/>
      <c r="O39" s="161"/>
      <c r="P39" s="161"/>
      <c r="Q39" s="161"/>
      <c r="R39" s="77">
        <f t="shared" si="7"/>
        <v>93241</v>
      </c>
      <c r="S39" s="136">
        <v>83238.670000000013</v>
      </c>
      <c r="T39" s="77">
        <f t="shared" si="5"/>
        <v>10002.329999999987</v>
      </c>
      <c r="U39" s="78">
        <f t="shared" si="6"/>
        <v>1.5183355370709669E-2</v>
      </c>
    </row>
    <row r="40" spans="1:23" ht="17.100000000000001" customHeight="1" x14ac:dyDescent="0.2">
      <c r="A40" s="88" t="s">
        <v>44</v>
      </c>
      <c r="B40" s="72" t="s">
        <v>235</v>
      </c>
      <c r="C40" s="77">
        <v>7478.416666666667</v>
      </c>
      <c r="D40" s="77"/>
      <c r="E40" s="77"/>
      <c r="F40" s="77"/>
      <c r="G40" s="77"/>
      <c r="H40" s="77">
        <v>2000</v>
      </c>
      <c r="I40" s="77"/>
      <c r="J40" s="77"/>
      <c r="K40" s="77"/>
      <c r="L40" s="161"/>
      <c r="M40" s="161"/>
      <c r="N40" s="161"/>
      <c r="O40" s="161"/>
      <c r="P40" s="161"/>
      <c r="Q40" s="161"/>
      <c r="R40" s="77">
        <f t="shared" si="7"/>
        <v>9478.4166666666679</v>
      </c>
      <c r="S40" s="136">
        <v>7801.17</v>
      </c>
      <c r="T40" s="77">
        <f t="shared" si="5"/>
        <v>1677.2466666666678</v>
      </c>
      <c r="U40" s="78">
        <f t="shared" si="6"/>
        <v>1.4229916986578368E-3</v>
      </c>
      <c r="V40" s="65"/>
      <c r="W40" s="65"/>
    </row>
    <row r="41" spans="1:23" ht="17.100000000000001" customHeight="1" x14ac:dyDescent="0.2">
      <c r="A41" s="88" t="s">
        <v>45</v>
      </c>
      <c r="B41" s="72" t="s">
        <v>46</v>
      </c>
      <c r="C41" s="77">
        <v>64432.876666666663</v>
      </c>
      <c r="D41" s="77"/>
      <c r="E41" s="77"/>
      <c r="F41" s="77"/>
      <c r="G41" s="77"/>
      <c r="H41" s="77">
        <v>12000</v>
      </c>
      <c r="I41" s="77"/>
      <c r="J41" s="77"/>
      <c r="K41" s="77"/>
      <c r="L41" s="161"/>
      <c r="M41" s="161"/>
      <c r="N41" s="161"/>
      <c r="O41" s="161"/>
      <c r="P41" s="161"/>
      <c r="Q41" s="161"/>
      <c r="R41" s="77">
        <f t="shared" si="7"/>
        <v>76432.876666666663</v>
      </c>
      <c r="S41" s="136">
        <v>65682.94</v>
      </c>
      <c r="T41" s="77">
        <f t="shared" si="5"/>
        <v>10749.936666666661</v>
      </c>
      <c r="U41" s="78">
        <f t="shared" si="6"/>
        <v>1.1981059041584889E-2</v>
      </c>
      <c r="V41" s="65"/>
      <c r="W41" s="65"/>
    </row>
    <row r="42" spans="1:23" ht="17.100000000000001" customHeight="1" x14ac:dyDescent="0.2">
      <c r="A42" s="88" t="s">
        <v>47</v>
      </c>
      <c r="B42" s="72" t="s">
        <v>114</v>
      </c>
      <c r="C42" s="77">
        <v>64432.876666666663</v>
      </c>
      <c r="D42" s="77"/>
      <c r="E42" s="77"/>
      <c r="F42" s="77"/>
      <c r="G42" s="77"/>
      <c r="H42" s="77">
        <v>6000</v>
      </c>
      <c r="I42" s="77"/>
      <c r="J42" s="77"/>
      <c r="K42" s="77"/>
      <c r="L42" s="161"/>
      <c r="M42" s="161"/>
      <c r="N42" s="161"/>
      <c r="O42" s="161"/>
      <c r="P42" s="161"/>
      <c r="Q42" s="161"/>
      <c r="R42" s="77">
        <f t="shared" si="7"/>
        <v>70432.876666666663</v>
      </c>
      <c r="S42" s="136">
        <v>64691.630000000005</v>
      </c>
      <c r="T42" s="77">
        <f t="shared" si="5"/>
        <v>5741.2466666666587</v>
      </c>
      <c r="U42" s="78">
        <f t="shared" si="6"/>
        <v>1.1800236690476466E-2</v>
      </c>
      <c r="V42" s="65"/>
      <c r="W42" s="65"/>
    </row>
    <row r="43" spans="1:23" ht="17.100000000000001" customHeight="1" x14ac:dyDescent="0.2">
      <c r="A43" s="88" t="s">
        <v>48</v>
      </c>
      <c r="B43" s="72" t="s">
        <v>49</v>
      </c>
      <c r="C43" s="77">
        <v>4000</v>
      </c>
      <c r="D43" s="77"/>
      <c r="E43" s="77"/>
      <c r="F43" s="77"/>
      <c r="G43" s="77"/>
      <c r="H43" s="77">
        <v>5500</v>
      </c>
      <c r="I43" s="77"/>
      <c r="J43" s="77"/>
      <c r="K43" s="77"/>
      <c r="L43" s="161"/>
      <c r="M43" s="161"/>
      <c r="N43" s="161"/>
      <c r="O43" s="161"/>
      <c r="P43" s="161"/>
      <c r="Q43" s="161"/>
      <c r="R43" s="77">
        <f t="shared" si="7"/>
        <v>9500</v>
      </c>
      <c r="S43" s="136">
        <v>4368.22</v>
      </c>
      <c r="T43" s="77">
        <f t="shared" si="5"/>
        <v>5131.78</v>
      </c>
      <c r="U43" s="78">
        <f t="shared" si="6"/>
        <v>7.9679596751655677E-4</v>
      </c>
      <c r="V43" s="65"/>
      <c r="W43" s="65"/>
    </row>
    <row r="44" spans="1:23" ht="17.100000000000001" customHeight="1" x14ac:dyDescent="0.2">
      <c r="A44" s="88"/>
      <c r="B44" s="72"/>
      <c r="C44" s="77"/>
      <c r="D44" s="77"/>
      <c r="E44" s="77"/>
      <c r="F44" s="77"/>
      <c r="G44" s="77"/>
      <c r="H44" s="77"/>
      <c r="I44" s="77"/>
      <c r="J44" s="77"/>
      <c r="K44" s="77"/>
      <c r="L44" s="161"/>
      <c r="M44" s="161"/>
      <c r="N44" s="161"/>
      <c r="O44" s="161"/>
      <c r="P44" s="161"/>
      <c r="Q44" s="161"/>
      <c r="R44" s="77"/>
      <c r="S44" s="136"/>
      <c r="T44" s="77"/>
      <c r="U44" s="78"/>
      <c r="V44" s="65"/>
      <c r="W44" s="65"/>
    </row>
    <row r="45" spans="1:23" ht="17.100000000000001" customHeight="1" x14ac:dyDescent="0.2">
      <c r="A45" s="88"/>
      <c r="B45" s="72"/>
      <c r="C45" s="77"/>
      <c r="D45" s="77"/>
      <c r="E45" s="77"/>
      <c r="F45" s="77"/>
      <c r="G45" s="77"/>
      <c r="H45" s="77"/>
      <c r="I45" s="77"/>
      <c r="J45" s="77"/>
      <c r="K45" s="77"/>
      <c r="L45" s="161"/>
      <c r="M45" s="161"/>
      <c r="N45" s="161"/>
      <c r="O45" s="161"/>
      <c r="P45" s="161"/>
      <c r="Q45" s="161"/>
      <c r="R45" s="77"/>
      <c r="S45" s="136"/>
      <c r="T45" s="77"/>
      <c r="U45" s="78"/>
      <c r="V45" s="65"/>
      <c r="W45" s="65"/>
    </row>
    <row r="46" spans="1:23" ht="17.100000000000001" customHeight="1" x14ac:dyDescent="0.2">
      <c r="A46" s="88"/>
      <c r="B46" s="72"/>
      <c r="C46" s="77"/>
      <c r="D46" s="77"/>
      <c r="E46" s="77"/>
      <c r="F46" s="77"/>
      <c r="G46" s="77"/>
      <c r="H46" s="77"/>
      <c r="I46" s="77"/>
      <c r="J46" s="77"/>
      <c r="K46" s="77"/>
      <c r="L46" s="161"/>
      <c r="M46" s="161"/>
      <c r="N46" s="161"/>
      <c r="O46" s="161"/>
      <c r="P46" s="161"/>
      <c r="Q46" s="161"/>
      <c r="R46" s="77"/>
      <c r="S46" s="136"/>
      <c r="T46" s="77"/>
      <c r="U46" s="78"/>
      <c r="V46" s="65"/>
      <c r="W46" s="65"/>
    </row>
    <row r="47" spans="1:23" ht="17.100000000000001" customHeight="1" x14ac:dyDescent="0.25">
      <c r="A47" s="86">
        <v>1</v>
      </c>
      <c r="B47" s="87" t="s">
        <v>50</v>
      </c>
      <c r="C47" s="77"/>
      <c r="D47" s="77"/>
      <c r="E47" s="77"/>
      <c r="F47" s="77"/>
      <c r="G47" s="77"/>
      <c r="H47" s="77"/>
      <c r="I47" s="77"/>
      <c r="J47" s="77"/>
      <c r="K47" s="77"/>
      <c r="L47" s="161"/>
      <c r="M47" s="161"/>
      <c r="N47" s="161"/>
      <c r="O47" s="161"/>
      <c r="P47" s="161"/>
      <c r="Q47" s="161"/>
      <c r="R47" s="77"/>
      <c r="S47" s="136"/>
      <c r="T47" s="77"/>
      <c r="U47" s="78"/>
      <c r="V47" s="65"/>
      <c r="W47" s="65"/>
    </row>
    <row r="48" spans="1:23" ht="17.100000000000001" customHeight="1" x14ac:dyDescent="0.2">
      <c r="A48" s="88" t="s">
        <v>115</v>
      </c>
      <c r="B48" s="72" t="s">
        <v>51</v>
      </c>
      <c r="C48" s="77">
        <v>11723.320000000002</v>
      </c>
      <c r="D48" s="77"/>
      <c r="E48" s="77"/>
      <c r="F48" s="77"/>
      <c r="G48" s="77"/>
      <c r="H48" s="77"/>
      <c r="I48" s="77"/>
      <c r="J48" s="77"/>
      <c r="K48" s="77"/>
      <c r="L48" s="161"/>
      <c r="M48" s="161"/>
      <c r="N48" s="161"/>
      <c r="O48" s="161"/>
      <c r="P48" s="161"/>
      <c r="Q48" s="161"/>
      <c r="R48" s="77">
        <f t="shared" si="7"/>
        <v>11723.320000000002</v>
      </c>
      <c r="S48" s="136">
        <v>9017.2999999999993</v>
      </c>
      <c r="T48" s="77">
        <f t="shared" si="5"/>
        <v>2706.0200000000023</v>
      </c>
      <c r="U48" s="78">
        <f t="shared" ref="U48:U81" si="8">S48/$S$140</f>
        <v>1.6448228976303954E-3</v>
      </c>
      <c r="V48" s="65"/>
      <c r="W48" s="65"/>
    </row>
    <row r="49" spans="1:23" ht="17.100000000000001" customHeight="1" x14ac:dyDescent="0.2">
      <c r="A49" s="88" t="s">
        <v>116</v>
      </c>
      <c r="B49" s="72" t="s">
        <v>52</v>
      </c>
      <c r="C49" s="77">
        <v>24780</v>
      </c>
      <c r="D49" s="77"/>
      <c r="E49" s="77"/>
      <c r="F49" s="77"/>
      <c r="G49" s="77"/>
      <c r="H49" s="77"/>
      <c r="I49" s="77"/>
      <c r="J49" s="77"/>
      <c r="K49" s="77"/>
      <c r="L49" s="161"/>
      <c r="M49" s="161"/>
      <c r="N49" s="161"/>
      <c r="O49" s="161"/>
      <c r="P49" s="161"/>
      <c r="Q49" s="161"/>
      <c r="R49" s="77">
        <f t="shared" si="7"/>
        <v>24780</v>
      </c>
      <c r="S49" s="136">
        <v>22063.5</v>
      </c>
      <c r="T49" s="77">
        <f t="shared" si="5"/>
        <v>2716.5</v>
      </c>
      <c r="U49" s="78">
        <f t="shared" si="8"/>
        <v>4.0245472593645809E-3</v>
      </c>
      <c r="V49" s="65"/>
      <c r="W49" s="65"/>
    </row>
    <row r="50" spans="1:23" ht="17.100000000000001" customHeight="1" x14ac:dyDescent="0.2">
      <c r="A50" s="88" t="s">
        <v>117</v>
      </c>
      <c r="B50" s="72" t="s">
        <v>53</v>
      </c>
      <c r="C50" s="77">
        <v>2500</v>
      </c>
      <c r="D50" s="77"/>
      <c r="E50" s="77"/>
      <c r="F50" s="77"/>
      <c r="G50" s="77"/>
      <c r="H50" s="77"/>
      <c r="I50" s="77"/>
      <c r="J50" s="77"/>
      <c r="K50" s="77"/>
      <c r="L50" s="161"/>
      <c r="M50" s="161"/>
      <c r="N50" s="161"/>
      <c r="O50" s="161"/>
      <c r="P50" s="161"/>
      <c r="Q50" s="161"/>
      <c r="R50" s="77">
        <f t="shared" si="7"/>
        <v>2500</v>
      </c>
      <c r="S50" s="136">
        <v>226</v>
      </c>
      <c r="T50" s="77">
        <f t="shared" si="5"/>
        <v>2274</v>
      </c>
      <c r="U50" s="78">
        <f t="shared" si="8"/>
        <v>4.122408868114285E-5</v>
      </c>
      <c r="V50" s="65"/>
      <c r="W50" s="65"/>
    </row>
    <row r="51" spans="1:23" ht="17.100000000000001" customHeight="1" x14ac:dyDescent="0.2">
      <c r="A51" s="88" t="s">
        <v>118</v>
      </c>
      <c r="B51" s="72" t="s">
        <v>54</v>
      </c>
      <c r="C51" s="77">
        <v>4464</v>
      </c>
      <c r="D51" s="77">
        <v>1200</v>
      </c>
      <c r="E51" s="77"/>
      <c r="F51" s="77">
        <v>4500</v>
      </c>
      <c r="G51" s="77"/>
      <c r="H51" s="77"/>
      <c r="I51" s="77"/>
      <c r="J51" s="77"/>
      <c r="K51" s="77"/>
      <c r="L51" s="161"/>
      <c r="M51" s="161"/>
      <c r="N51" s="161"/>
      <c r="O51" s="161"/>
      <c r="P51" s="161"/>
      <c r="Q51" s="161"/>
      <c r="R51" s="77">
        <f t="shared" si="7"/>
        <v>10164</v>
      </c>
      <c r="S51" s="136">
        <v>7919.04</v>
      </c>
      <c r="T51" s="77">
        <v>7519.04</v>
      </c>
      <c r="U51" s="78">
        <f t="shared" si="8"/>
        <v>1.4444920673872454E-3</v>
      </c>
      <c r="V51" s="65"/>
      <c r="W51" s="65"/>
    </row>
    <row r="52" spans="1:23" ht="17.100000000000001" customHeight="1" x14ac:dyDescent="0.2">
      <c r="A52" s="88" t="s">
        <v>119</v>
      </c>
      <c r="B52" s="72" t="s">
        <v>120</v>
      </c>
      <c r="C52" s="77">
        <v>12200</v>
      </c>
      <c r="D52" s="77"/>
      <c r="E52" s="77"/>
      <c r="F52" s="77">
        <v>3500</v>
      </c>
      <c r="G52" s="77"/>
      <c r="H52" s="77"/>
      <c r="I52" s="77"/>
      <c r="J52" s="77"/>
      <c r="K52" s="77"/>
      <c r="L52" s="161"/>
      <c r="M52" s="161"/>
      <c r="N52" s="161"/>
      <c r="O52" s="161"/>
      <c r="P52" s="161"/>
      <c r="Q52" s="161"/>
      <c r="R52" s="77">
        <f t="shared" si="7"/>
        <v>15700</v>
      </c>
      <c r="S52" s="136">
        <v>13587</v>
      </c>
      <c r="T52" s="77">
        <v>13248.5</v>
      </c>
      <c r="U52" s="78">
        <f t="shared" si="8"/>
        <v>2.4783703226136629E-3</v>
      </c>
      <c r="V52" s="65"/>
      <c r="W52" s="65"/>
    </row>
    <row r="53" spans="1:23" ht="17.100000000000001" customHeight="1" x14ac:dyDescent="0.2">
      <c r="A53" s="88" t="s">
        <v>121</v>
      </c>
      <c r="B53" s="72" t="s">
        <v>122</v>
      </c>
      <c r="C53" s="77">
        <v>1218400</v>
      </c>
      <c r="D53" s="77">
        <v>64062.78</v>
      </c>
      <c r="E53" s="77"/>
      <c r="F53" s="77"/>
      <c r="G53" s="77"/>
      <c r="H53" s="77">
        <v>77500</v>
      </c>
      <c r="I53" s="77"/>
      <c r="J53" s="77">
        <v>100000</v>
      </c>
      <c r="K53" s="77"/>
      <c r="L53" s="161">
        <v>208000</v>
      </c>
      <c r="M53" s="161"/>
      <c r="N53" s="161"/>
      <c r="O53" s="161"/>
      <c r="P53" s="161"/>
      <c r="Q53" s="161"/>
      <c r="R53" s="77">
        <f t="shared" si="7"/>
        <v>1667962.78</v>
      </c>
      <c r="S53" s="136">
        <v>1510160.53</v>
      </c>
      <c r="T53" s="77">
        <f t="shared" si="5"/>
        <v>157802.25</v>
      </c>
      <c r="U53" s="78">
        <f t="shared" si="8"/>
        <v>0.27546456465257385</v>
      </c>
      <c r="V53" s="65"/>
      <c r="W53" s="97"/>
    </row>
    <row r="54" spans="1:23" ht="17.100000000000001" customHeight="1" x14ac:dyDescent="0.2">
      <c r="A54" s="88" t="s">
        <v>123</v>
      </c>
      <c r="B54" s="72" t="s">
        <v>124</v>
      </c>
      <c r="C54" s="77">
        <v>0</v>
      </c>
      <c r="D54" s="77"/>
      <c r="E54" s="77"/>
      <c r="F54" s="77"/>
      <c r="G54" s="77"/>
      <c r="H54" s="77"/>
      <c r="I54" s="77"/>
      <c r="J54" s="77"/>
      <c r="K54" s="77"/>
      <c r="L54" s="161"/>
      <c r="M54" s="161"/>
      <c r="N54" s="161"/>
      <c r="O54" s="161"/>
      <c r="P54" s="161"/>
      <c r="Q54" s="161"/>
      <c r="R54" s="77">
        <f t="shared" si="7"/>
        <v>0</v>
      </c>
      <c r="S54" s="136">
        <v>0</v>
      </c>
      <c r="T54" s="77">
        <f t="shared" si="5"/>
        <v>0</v>
      </c>
      <c r="U54" s="78">
        <f t="shared" si="8"/>
        <v>0</v>
      </c>
      <c r="V54" s="65"/>
      <c r="W54" s="65"/>
    </row>
    <row r="55" spans="1:23" ht="17.100000000000001" customHeight="1" x14ac:dyDescent="0.2">
      <c r="A55" s="88" t="s">
        <v>125</v>
      </c>
      <c r="B55" s="72" t="s">
        <v>126</v>
      </c>
      <c r="C55" s="77">
        <v>0</v>
      </c>
      <c r="D55" s="77"/>
      <c r="E55" s="77"/>
      <c r="F55" s="77"/>
      <c r="G55" s="77"/>
      <c r="H55" s="77"/>
      <c r="I55" s="77"/>
      <c r="J55" s="77"/>
      <c r="K55" s="77"/>
      <c r="L55" s="161"/>
      <c r="M55" s="161"/>
      <c r="N55" s="161"/>
      <c r="O55" s="161"/>
      <c r="P55" s="161"/>
      <c r="Q55" s="161"/>
      <c r="R55" s="77">
        <f t="shared" si="7"/>
        <v>0</v>
      </c>
      <c r="S55" s="136">
        <v>0</v>
      </c>
      <c r="T55" s="77">
        <f t="shared" si="5"/>
        <v>0</v>
      </c>
      <c r="U55" s="78">
        <f t="shared" si="8"/>
        <v>0</v>
      </c>
      <c r="V55" s="65"/>
      <c r="W55" s="65"/>
    </row>
    <row r="56" spans="1:23" ht="17.100000000000001" customHeight="1" x14ac:dyDescent="0.2">
      <c r="A56" s="88" t="s">
        <v>127</v>
      </c>
      <c r="B56" s="72" t="s">
        <v>55</v>
      </c>
      <c r="C56" s="77">
        <v>104664</v>
      </c>
      <c r="D56" s="77">
        <v>13644</v>
      </c>
      <c r="E56" s="77"/>
      <c r="F56" s="77"/>
      <c r="G56" s="77"/>
      <c r="H56" s="77"/>
      <c r="I56" s="77"/>
      <c r="J56" s="77"/>
      <c r="K56" s="77"/>
      <c r="L56" s="161"/>
      <c r="M56" s="161">
        <v>50000</v>
      </c>
      <c r="N56" s="161">
        <v>50000</v>
      </c>
      <c r="O56" s="161"/>
      <c r="P56" s="161"/>
      <c r="Q56" s="161"/>
      <c r="R56" s="77">
        <f t="shared" si="7"/>
        <v>118308</v>
      </c>
      <c r="S56" s="136">
        <v>165549.23000000001</v>
      </c>
      <c r="T56" s="77">
        <f>R56-S56</f>
        <v>-47241.23000000001</v>
      </c>
      <c r="U56" s="78">
        <f t="shared" si="8"/>
        <v>3.0197416542543869E-2</v>
      </c>
      <c r="V56" s="65"/>
      <c r="W56" s="65"/>
    </row>
    <row r="57" spans="1:23" ht="17.100000000000001" customHeight="1" x14ac:dyDescent="0.2">
      <c r="A57" s="88" t="s">
        <v>128</v>
      </c>
      <c r="B57" s="72" t="s">
        <v>237</v>
      </c>
      <c r="C57" s="77">
        <v>459374.84</v>
      </c>
      <c r="D57" s="77">
        <v>11548.31</v>
      </c>
      <c r="E57" s="77"/>
      <c r="F57" s="77"/>
      <c r="G57" s="77"/>
      <c r="H57" s="77"/>
      <c r="I57" s="77"/>
      <c r="J57" s="77"/>
      <c r="K57" s="77"/>
      <c r="L57" s="161"/>
      <c r="M57" s="161">
        <v>40000</v>
      </c>
      <c r="N57" s="161">
        <v>20000</v>
      </c>
      <c r="O57" s="161"/>
      <c r="P57" s="161"/>
      <c r="Q57" s="161"/>
      <c r="R57" s="77">
        <f t="shared" si="7"/>
        <v>450923.15</v>
      </c>
      <c r="S57" s="136">
        <v>422257.36000000004</v>
      </c>
      <c r="T57" s="77">
        <f t="shared" si="5"/>
        <v>28665.789999999979</v>
      </c>
      <c r="U57" s="78">
        <f t="shared" si="8"/>
        <v>7.7022897588076386E-2</v>
      </c>
      <c r="V57" s="65"/>
      <c r="W57" s="65"/>
    </row>
    <row r="58" spans="1:23" ht="17.100000000000001" customHeight="1" x14ac:dyDescent="0.2">
      <c r="A58" s="88" t="s">
        <v>130</v>
      </c>
      <c r="B58" s="72" t="s">
        <v>56</v>
      </c>
      <c r="C58" s="77">
        <v>9000</v>
      </c>
      <c r="D58" s="77"/>
      <c r="E58" s="77"/>
      <c r="F58" s="77"/>
      <c r="G58" s="77"/>
      <c r="H58" s="77">
        <v>7500</v>
      </c>
      <c r="I58" s="77"/>
      <c r="J58" s="77"/>
      <c r="K58" s="77"/>
      <c r="L58" s="161"/>
      <c r="M58" s="161">
        <v>5000</v>
      </c>
      <c r="N58" s="161"/>
      <c r="O58" s="161"/>
      <c r="P58" s="161"/>
      <c r="Q58" s="161"/>
      <c r="R58" s="77">
        <f t="shared" si="7"/>
        <v>11500</v>
      </c>
      <c r="S58" s="136">
        <v>9488.19</v>
      </c>
      <c r="T58" s="77">
        <f t="shared" si="5"/>
        <v>2011.8099999999995</v>
      </c>
      <c r="U58" s="78">
        <f t="shared" si="8"/>
        <v>1.7307167521395256E-3</v>
      </c>
      <c r="V58" s="65"/>
      <c r="W58" s="65"/>
    </row>
    <row r="59" spans="1:23" ht="17.100000000000001" customHeight="1" x14ac:dyDescent="0.2">
      <c r="A59" s="88" t="s">
        <v>131</v>
      </c>
      <c r="B59" s="72" t="s">
        <v>57</v>
      </c>
      <c r="C59" s="77">
        <v>25000</v>
      </c>
      <c r="D59" s="77"/>
      <c r="E59" s="77"/>
      <c r="F59" s="77">
        <v>27000</v>
      </c>
      <c r="G59" s="77"/>
      <c r="H59" s="77">
        <v>35000</v>
      </c>
      <c r="I59" s="77"/>
      <c r="J59" s="77"/>
      <c r="K59" s="77"/>
      <c r="L59" s="161"/>
      <c r="M59" s="161">
        <v>35000</v>
      </c>
      <c r="N59" s="161"/>
      <c r="O59" s="161"/>
      <c r="P59" s="161"/>
      <c r="Q59" s="161"/>
      <c r="R59" s="77">
        <f t="shared" si="7"/>
        <v>52000</v>
      </c>
      <c r="S59" s="136">
        <v>46209.279999999999</v>
      </c>
      <c r="T59" s="77">
        <f t="shared" si="5"/>
        <v>5790.7200000000012</v>
      </c>
      <c r="U59" s="78">
        <f t="shared" si="8"/>
        <v>8.4289179496095604E-3</v>
      </c>
      <c r="V59" s="65"/>
      <c r="W59" s="65"/>
    </row>
    <row r="60" spans="1:23" ht="17.100000000000001" customHeight="1" x14ac:dyDescent="0.2">
      <c r="A60" s="88" t="s">
        <v>132</v>
      </c>
      <c r="B60" s="72" t="s">
        <v>133</v>
      </c>
      <c r="C60" s="77">
        <v>70560</v>
      </c>
      <c r="D60" s="77"/>
      <c r="E60" s="77"/>
      <c r="F60" s="77"/>
      <c r="G60" s="77"/>
      <c r="H60" s="77"/>
      <c r="I60" s="77"/>
      <c r="J60" s="77"/>
      <c r="K60" s="77"/>
      <c r="L60" s="161"/>
      <c r="M60" s="161"/>
      <c r="N60" s="161"/>
      <c r="O60" s="161"/>
      <c r="P60" s="161"/>
      <c r="Q60" s="161"/>
      <c r="R60" s="77">
        <f t="shared" si="7"/>
        <v>70560</v>
      </c>
      <c r="S60" s="136">
        <v>70560</v>
      </c>
      <c r="T60" s="77">
        <f t="shared" si="5"/>
        <v>0</v>
      </c>
      <c r="U60" s="78">
        <f t="shared" si="8"/>
        <v>1.287067122717451E-2</v>
      </c>
      <c r="V60" s="65"/>
      <c r="W60" s="65"/>
    </row>
    <row r="61" spans="1:23" ht="17.100000000000001" customHeight="1" x14ac:dyDescent="0.2">
      <c r="A61" s="88" t="s">
        <v>134</v>
      </c>
      <c r="B61" s="72" t="s">
        <v>58</v>
      </c>
      <c r="C61" s="77">
        <v>35200</v>
      </c>
      <c r="D61" s="77"/>
      <c r="E61" s="77"/>
      <c r="F61" s="77"/>
      <c r="G61" s="77"/>
      <c r="H61" s="77"/>
      <c r="I61" s="77"/>
      <c r="J61" s="77"/>
      <c r="K61" s="77"/>
      <c r="L61" s="161"/>
      <c r="M61" s="161"/>
      <c r="N61" s="161"/>
      <c r="O61" s="161"/>
      <c r="P61" s="161"/>
      <c r="Q61" s="161"/>
      <c r="R61" s="77">
        <f t="shared" si="7"/>
        <v>35200</v>
      </c>
      <c r="S61" s="136">
        <v>28875</v>
      </c>
      <c r="T61" s="77">
        <f t="shared" si="5"/>
        <v>6325</v>
      </c>
      <c r="U61" s="78">
        <f t="shared" si="8"/>
        <v>5.2670157551681406E-3</v>
      </c>
      <c r="V61" s="65"/>
      <c r="W61" s="65"/>
    </row>
    <row r="62" spans="1:23" ht="17.100000000000001" customHeight="1" x14ac:dyDescent="0.2">
      <c r="A62" s="88" t="s">
        <v>135</v>
      </c>
      <c r="B62" s="72" t="s">
        <v>59</v>
      </c>
      <c r="C62" s="77">
        <v>6550</v>
      </c>
      <c r="D62" s="77"/>
      <c r="E62" s="77"/>
      <c r="F62" s="77"/>
      <c r="G62" s="77"/>
      <c r="H62" s="77"/>
      <c r="I62" s="77"/>
      <c r="J62" s="77"/>
      <c r="K62" s="77"/>
      <c r="L62" s="161"/>
      <c r="M62" s="161"/>
      <c r="N62" s="161"/>
      <c r="O62" s="161"/>
      <c r="P62" s="161"/>
      <c r="Q62" s="161"/>
      <c r="R62" s="77">
        <f t="shared" si="7"/>
        <v>6550</v>
      </c>
      <c r="S62" s="136">
        <v>3335</v>
      </c>
      <c r="T62" s="77">
        <f t="shared" si="5"/>
        <v>3215</v>
      </c>
      <c r="U62" s="78">
        <f t="shared" si="8"/>
        <v>6.0832891925491773E-4</v>
      </c>
      <c r="V62" s="65"/>
      <c r="W62" s="65"/>
    </row>
    <row r="63" spans="1:23" ht="17.100000000000001" customHeight="1" x14ac:dyDescent="0.2">
      <c r="A63" s="88" t="s">
        <v>136</v>
      </c>
      <c r="B63" s="72" t="s">
        <v>137</v>
      </c>
      <c r="C63" s="77">
        <v>2000</v>
      </c>
      <c r="D63" s="77"/>
      <c r="E63" s="77"/>
      <c r="F63" s="77"/>
      <c r="G63" s="77"/>
      <c r="H63" s="77"/>
      <c r="I63" s="77"/>
      <c r="J63" s="77"/>
      <c r="K63" s="77"/>
      <c r="L63" s="161"/>
      <c r="M63" s="161"/>
      <c r="N63" s="161"/>
      <c r="O63" s="161"/>
      <c r="P63" s="161"/>
      <c r="Q63" s="161"/>
      <c r="R63" s="77">
        <f t="shared" si="7"/>
        <v>2000</v>
      </c>
      <c r="S63" s="136">
        <v>945</v>
      </c>
      <c r="T63" s="77">
        <f t="shared" si="5"/>
        <v>1055</v>
      </c>
      <c r="U63" s="78">
        <f t="shared" si="8"/>
        <v>1.7237506107823004E-4</v>
      </c>
      <c r="V63" s="65"/>
      <c r="W63" s="65"/>
    </row>
    <row r="64" spans="1:23" ht="17.100000000000001" customHeight="1" x14ac:dyDescent="0.2">
      <c r="A64" s="88" t="s">
        <v>138</v>
      </c>
      <c r="B64" s="72" t="s">
        <v>139</v>
      </c>
      <c r="C64" s="77">
        <v>10000</v>
      </c>
      <c r="D64" s="77"/>
      <c r="E64" s="77"/>
      <c r="F64" s="77"/>
      <c r="G64" s="77"/>
      <c r="H64" s="77"/>
      <c r="I64" s="77"/>
      <c r="J64" s="77">
        <v>35000</v>
      </c>
      <c r="K64" s="77"/>
      <c r="L64" s="161"/>
      <c r="M64" s="161"/>
      <c r="N64" s="161"/>
      <c r="O64" s="161"/>
      <c r="P64" s="161"/>
      <c r="Q64" s="161"/>
      <c r="R64" s="77">
        <f t="shared" si="7"/>
        <v>45000</v>
      </c>
      <c r="S64" s="136">
        <v>33295</v>
      </c>
      <c r="T64" s="77">
        <f t="shared" si="5"/>
        <v>11705</v>
      </c>
      <c r="U64" s="78">
        <f t="shared" si="8"/>
        <v>6.0732567815869514E-3</v>
      </c>
      <c r="V64" s="65"/>
      <c r="W64" s="65"/>
    </row>
    <row r="65" spans="1:23" ht="17.100000000000001" customHeight="1" x14ac:dyDescent="0.2">
      <c r="A65" s="88" t="s">
        <v>140</v>
      </c>
      <c r="B65" s="72" t="s">
        <v>141</v>
      </c>
      <c r="C65" s="77">
        <v>6900</v>
      </c>
      <c r="D65" s="77"/>
      <c r="E65" s="77"/>
      <c r="F65" s="77">
        <v>850</v>
      </c>
      <c r="G65" s="77"/>
      <c r="H65" s="77"/>
      <c r="I65" s="77"/>
      <c r="J65" s="77"/>
      <c r="K65" s="77"/>
      <c r="L65" s="161"/>
      <c r="M65" s="161"/>
      <c r="N65" s="161"/>
      <c r="O65" s="161"/>
      <c r="P65" s="161">
        <v>5000</v>
      </c>
      <c r="Q65" s="161"/>
      <c r="R65" s="77">
        <f t="shared" si="7"/>
        <v>12750</v>
      </c>
      <c r="S65" s="136">
        <v>749.71</v>
      </c>
      <c r="T65" s="77">
        <f t="shared" si="5"/>
        <v>12000.29</v>
      </c>
      <c r="U65" s="78">
        <f t="shared" si="8"/>
        <v>1.3675270586344958E-4</v>
      </c>
      <c r="V65" s="65"/>
      <c r="W65" s="65"/>
    </row>
    <row r="66" spans="1:23" ht="17.100000000000001" customHeight="1" x14ac:dyDescent="0.2">
      <c r="A66" s="88" t="s">
        <v>142</v>
      </c>
      <c r="B66" s="72" t="s">
        <v>143</v>
      </c>
      <c r="C66" s="77">
        <v>3000</v>
      </c>
      <c r="D66" s="77"/>
      <c r="E66" s="77"/>
      <c r="F66" s="77"/>
      <c r="G66" s="77"/>
      <c r="H66" s="77">
        <v>2500</v>
      </c>
      <c r="I66" s="77"/>
      <c r="J66" s="77"/>
      <c r="K66" s="77"/>
      <c r="L66" s="161"/>
      <c r="M66" s="161"/>
      <c r="N66" s="161"/>
      <c r="O66" s="161"/>
      <c r="P66" s="161"/>
      <c r="Q66" s="161"/>
      <c r="R66" s="77">
        <f t="shared" si="7"/>
        <v>5500</v>
      </c>
      <c r="S66" s="136">
        <v>3000</v>
      </c>
      <c r="T66" s="77">
        <f t="shared" si="5"/>
        <v>2500</v>
      </c>
      <c r="U66" s="78">
        <f t="shared" si="8"/>
        <v>5.4722241612136522E-4</v>
      </c>
      <c r="V66" s="65"/>
      <c r="W66" s="65"/>
    </row>
    <row r="67" spans="1:23" ht="17.100000000000001" customHeight="1" x14ac:dyDescent="0.2">
      <c r="A67" s="88" t="s">
        <v>144</v>
      </c>
      <c r="B67" s="72" t="s">
        <v>145</v>
      </c>
      <c r="C67" s="77">
        <v>5000</v>
      </c>
      <c r="D67" s="77">
        <v>250</v>
      </c>
      <c r="E67" s="77"/>
      <c r="F67" s="77">
        <v>12285</v>
      </c>
      <c r="G67" s="77"/>
      <c r="H67" s="77">
        <v>8500</v>
      </c>
      <c r="I67" s="77"/>
      <c r="J67" s="77"/>
      <c r="K67" s="77"/>
      <c r="L67" s="161"/>
      <c r="M67" s="161"/>
      <c r="N67" s="161"/>
      <c r="O67" s="161"/>
      <c r="P67" s="161"/>
      <c r="Q67" s="161"/>
      <c r="R67" s="77">
        <f t="shared" si="7"/>
        <v>26035</v>
      </c>
      <c r="S67" s="136">
        <v>11200</v>
      </c>
      <c r="T67" s="77">
        <f t="shared" si="5"/>
        <v>14835</v>
      </c>
      <c r="U67" s="78">
        <f t="shared" si="8"/>
        <v>2.042963686853097E-3</v>
      </c>
      <c r="V67" s="65"/>
      <c r="W67" s="65"/>
    </row>
    <row r="68" spans="1:23" ht="17.100000000000001" customHeight="1" x14ac:dyDescent="0.2">
      <c r="A68" s="88" t="s">
        <v>146</v>
      </c>
      <c r="B68" s="72" t="s">
        <v>147</v>
      </c>
      <c r="C68" s="77">
        <v>180000</v>
      </c>
      <c r="D68" s="77"/>
      <c r="E68" s="77"/>
      <c r="F68" s="77"/>
      <c r="G68" s="77"/>
      <c r="H68" s="77"/>
      <c r="I68" s="77"/>
      <c r="J68" s="77"/>
      <c r="K68" s="77"/>
      <c r="L68" s="161"/>
      <c r="M68" s="161"/>
      <c r="N68" s="161"/>
      <c r="O68" s="161"/>
      <c r="P68" s="161"/>
      <c r="Q68" s="161"/>
      <c r="R68" s="77">
        <f t="shared" si="7"/>
        <v>180000</v>
      </c>
      <c r="S68" s="136">
        <v>84000</v>
      </c>
      <c r="T68" s="77">
        <f t="shared" si="5"/>
        <v>96000</v>
      </c>
      <c r="U68" s="78">
        <f t="shared" si="8"/>
        <v>1.5322227651398226E-2</v>
      </c>
      <c r="V68" s="65"/>
      <c r="W68" s="65"/>
    </row>
    <row r="69" spans="1:23" ht="17.100000000000001" customHeight="1" x14ac:dyDescent="0.2">
      <c r="A69" s="88" t="s">
        <v>148</v>
      </c>
      <c r="B69" s="72" t="s">
        <v>149</v>
      </c>
      <c r="C69" s="77">
        <v>0</v>
      </c>
      <c r="D69" s="77"/>
      <c r="E69" s="77"/>
      <c r="F69" s="77"/>
      <c r="G69" s="77"/>
      <c r="H69" s="77"/>
      <c r="I69" s="77"/>
      <c r="J69" s="77"/>
      <c r="K69" s="77"/>
      <c r="L69" s="161"/>
      <c r="M69" s="161"/>
      <c r="N69" s="161"/>
      <c r="O69" s="161"/>
      <c r="P69" s="161">
        <v>3000</v>
      </c>
      <c r="Q69" s="161"/>
      <c r="R69" s="77">
        <f t="shared" si="7"/>
        <v>3000</v>
      </c>
      <c r="S69" s="136">
        <v>0</v>
      </c>
      <c r="T69" s="77">
        <f t="shared" si="5"/>
        <v>3000</v>
      </c>
      <c r="U69" s="78">
        <f t="shared" si="8"/>
        <v>0</v>
      </c>
      <c r="V69" s="65"/>
      <c r="W69" s="65"/>
    </row>
    <row r="70" spans="1:23" ht="17.100000000000001" customHeight="1" x14ac:dyDescent="0.2">
      <c r="A70" s="88" t="s">
        <v>150</v>
      </c>
      <c r="B70" s="72" t="s">
        <v>151</v>
      </c>
      <c r="C70" s="77">
        <v>40600</v>
      </c>
      <c r="D70" s="77"/>
      <c r="E70" s="77">
        <v>16600</v>
      </c>
      <c r="F70" s="77"/>
      <c r="G70" s="77"/>
      <c r="H70" s="77"/>
      <c r="I70" s="77"/>
      <c r="J70" s="77"/>
      <c r="K70" s="77"/>
      <c r="L70" s="161"/>
      <c r="M70" s="161"/>
      <c r="N70" s="161"/>
      <c r="O70" s="161"/>
      <c r="P70" s="161"/>
      <c r="Q70" s="161"/>
      <c r="R70" s="77">
        <f t="shared" si="7"/>
        <v>24000</v>
      </c>
      <c r="S70" s="136">
        <v>16610</v>
      </c>
      <c r="T70" s="77">
        <f t="shared" si="5"/>
        <v>7390</v>
      </c>
      <c r="U70" s="78">
        <f t="shared" si="8"/>
        <v>3.0297881105919586E-3</v>
      </c>
      <c r="V70" s="65"/>
      <c r="W70" s="65"/>
    </row>
    <row r="71" spans="1:23" ht="17.100000000000001" customHeight="1" x14ac:dyDescent="0.2">
      <c r="A71" s="88" t="s">
        <v>152</v>
      </c>
      <c r="B71" s="72" t="s">
        <v>153</v>
      </c>
      <c r="C71" s="77">
        <v>60000</v>
      </c>
      <c r="D71" s="77"/>
      <c r="E71" s="77">
        <v>6000</v>
      </c>
      <c r="F71" s="77"/>
      <c r="G71" s="77"/>
      <c r="H71" s="77"/>
      <c r="I71" s="77"/>
      <c r="J71" s="77"/>
      <c r="K71" s="77"/>
      <c r="L71" s="161"/>
      <c r="M71" s="161"/>
      <c r="N71" s="161"/>
      <c r="O71" s="161"/>
      <c r="P71" s="161"/>
      <c r="Q71" s="161"/>
      <c r="R71" s="77">
        <f t="shared" si="7"/>
        <v>54000</v>
      </c>
      <c r="S71" s="136">
        <v>54000</v>
      </c>
      <c r="T71" s="77">
        <f t="shared" si="5"/>
        <v>0</v>
      </c>
      <c r="U71" s="78">
        <f t="shared" si="8"/>
        <v>9.8500034901845748E-3</v>
      </c>
      <c r="V71" s="65"/>
      <c r="W71" s="65"/>
    </row>
    <row r="72" spans="1:23" ht="17.100000000000001" customHeight="1" x14ac:dyDescent="0.2">
      <c r="A72" s="88" t="s">
        <v>154</v>
      </c>
      <c r="B72" s="72" t="s">
        <v>60</v>
      </c>
      <c r="C72" s="77">
        <v>11300</v>
      </c>
      <c r="D72" s="77"/>
      <c r="E72" s="77"/>
      <c r="F72" s="77">
        <v>10000</v>
      </c>
      <c r="G72" s="77"/>
      <c r="H72" s="77"/>
      <c r="I72" s="77"/>
      <c r="J72" s="77"/>
      <c r="K72" s="77"/>
      <c r="L72" s="161"/>
      <c r="M72" s="161"/>
      <c r="N72" s="161"/>
      <c r="O72" s="161"/>
      <c r="P72" s="161"/>
      <c r="Q72" s="161"/>
      <c r="R72" s="77">
        <f t="shared" si="7"/>
        <v>21300</v>
      </c>
      <c r="S72" s="136">
        <v>6048</v>
      </c>
      <c r="T72" s="77">
        <f t="shared" si="5"/>
        <v>15252</v>
      </c>
      <c r="U72" s="78">
        <f t="shared" si="8"/>
        <v>1.1032003909006722E-3</v>
      </c>
      <c r="V72" s="65"/>
      <c r="W72" s="65"/>
    </row>
    <row r="73" spans="1:23" ht="17.100000000000001" customHeight="1" x14ac:dyDescent="0.2">
      <c r="A73" s="88" t="s">
        <v>155</v>
      </c>
      <c r="B73" s="72" t="s">
        <v>268</v>
      </c>
      <c r="C73" s="77">
        <v>15500</v>
      </c>
      <c r="D73" s="77"/>
      <c r="E73" s="77"/>
      <c r="F73" s="77">
        <v>18000</v>
      </c>
      <c r="G73" s="77"/>
      <c r="H73" s="77"/>
      <c r="I73" s="77"/>
      <c r="J73" s="77"/>
      <c r="K73" s="77"/>
      <c r="L73" s="161"/>
      <c r="M73" s="161"/>
      <c r="N73" s="161"/>
      <c r="O73" s="161"/>
      <c r="P73" s="161"/>
      <c r="Q73" s="161"/>
      <c r="R73" s="77">
        <f t="shared" si="7"/>
        <v>33500</v>
      </c>
      <c r="S73" s="136">
        <v>21245</v>
      </c>
      <c r="T73" s="77">
        <f t="shared" si="5"/>
        <v>12255</v>
      </c>
      <c r="U73" s="78">
        <f t="shared" si="8"/>
        <v>3.8752467434994679E-3</v>
      </c>
      <c r="V73" s="65"/>
      <c r="W73" s="65"/>
    </row>
    <row r="74" spans="1:23" ht="17.100000000000001" customHeight="1" x14ac:dyDescent="0.2">
      <c r="A74" s="88" t="s">
        <v>157</v>
      </c>
      <c r="B74" s="72" t="s">
        <v>61</v>
      </c>
      <c r="C74" s="77">
        <v>24394.959999999995</v>
      </c>
      <c r="D74" s="77"/>
      <c r="E74" s="77">
        <v>3200</v>
      </c>
      <c r="F74" s="77">
        <v>12000</v>
      </c>
      <c r="G74" s="77"/>
      <c r="H74" s="77"/>
      <c r="I74" s="77"/>
      <c r="J74" s="77"/>
      <c r="K74" s="77"/>
      <c r="L74" s="161"/>
      <c r="M74" s="161"/>
      <c r="N74" s="161"/>
      <c r="O74" s="161"/>
      <c r="P74" s="161"/>
      <c r="Q74" s="161"/>
      <c r="R74" s="77">
        <f t="shared" si="7"/>
        <v>33194.959999999992</v>
      </c>
      <c r="S74" s="136">
        <v>30522.1</v>
      </c>
      <c r="T74" s="77">
        <f t="shared" si="5"/>
        <v>2672.8599999999933</v>
      </c>
      <c r="U74" s="78">
        <f t="shared" si="8"/>
        <v>5.5674591023659736E-3</v>
      </c>
      <c r="V74" s="65"/>
      <c r="W74" s="65"/>
    </row>
    <row r="75" spans="1:23" ht="17.100000000000001" customHeight="1" x14ac:dyDescent="0.2">
      <c r="A75" s="88" t="s">
        <v>158</v>
      </c>
      <c r="B75" s="72" t="s">
        <v>62</v>
      </c>
      <c r="C75" s="77">
        <v>80000</v>
      </c>
      <c r="D75" s="77"/>
      <c r="E75" s="77"/>
      <c r="F75" s="77">
        <v>27500</v>
      </c>
      <c r="G75" s="77"/>
      <c r="H75" s="77"/>
      <c r="I75" s="77"/>
      <c r="J75" s="77"/>
      <c r="K75" s="77"/>
      <c r="L75" s="161"/>
      <c r="M75" s="161"/>
      <c r="N75" s="161"/>
      <c r="O75" s="161"/>
      <c r="P75" s="161"/>
      <c r="Q75" s="161"/>
      <c r="R75" s="77">
        <f t="shared" si="7"/>
        <v>107500</v>
      </c>
      <c r="S75" s="136">
        <v>0</v>
      </c>
      <c r="T75" s="77">
        <f t="shared" si="5"/>
        <v>107500</v>
      </c>
      <c r="U75" s="78">
        <f t="shared" si="8"/>
        <v>0</v>
      </c>
      <c r="V75" s="65"/>
      <c r="W75" s="65"/>
    </row>
    <row r="76" spans="1:23" ht="17.100000000000001" customHeight="1" x14ac:dyDescent="0.2">
      <c r="A76" s="88" t="s">
        <v>159</v>
      </c>
      <c r="B76" s="72" t="s">
        <v>238</v>
      </c>
      <c r="C76" s="77">
        <v>244000</v>
      </c>
      <c r="D76" s="77"/>
      <c r="E76" s="77">
        <v>12800</v>
      </c>
      <c r="F76" s="77">
        <v>18000</v>
      </c>
      <c r="G76" s="77"/>
      <c r="H76" s="77"/>
      <c r="I76" s="77"/>
      <c r="J76" s="77"/>
      <c r="K76" s="77"/>
      <c r="L76" s="161"/>
      <c r="M76" s="161"/>
      <c r="N76" s="161"/>
      <c r="O76" s="161"/>
      <c r="P76" s="161"/>
      <c r="Q76" s="161">
        <v>10000</v>
      </c>
      <c r="R76" s="77">
        <f t="shared" si="7"/>
        <v>239200</v>
      </c>
      <c r="S76" s="136">
        <v>226838.38</v>
      </c>
      <c r="T76" s="77">
        <f t="shared" si="5"/>
        <v>12361.619999999995</v>
      </c>
      <c r="U76" s="78">
        <f t="shared" si="8"/>
        <v>4.1377015457552124E-2</v>
      </c>
      <c r="V76" s="65"/>
      <c r="W76" s="65"/>
    </row>
    <row r="77" spans="1:23" ht="17.100000000000001" customHeight="1" x14ac:dyDescent="0.2">
      <c r="A77" s="88" t="s">
        <v>160</v>
      </c>
      <c r="B77" s="72" t="s">
        <v>64</v>
      </c>
      <c r="C77" s="77">
        <v>11250</v>
      </c>
      <c r="D77" s="77"/>
      <c r="E77" s="77"/>
      <c r="F77" s="77"/>
      <c r="G77" s="77"/>
      <c r="H77" s="77"/>
      <c r="I77" s="77"/>
      <c r="J77" s="77"/>
      <c r="K77" s="77"/>
      <c r="L77" s="161"/>
      <c r="M77" s="161"/>
      <c r="N77" s="161"/>
      <c r="O77" s="161"/>
      <c r="P77" s="161"/>
      <c r="Q77" s="161"/>
      <c r="R77" s="77">
        <f t="shared" si="7"/>
        <v>11250</v>
      </c>
      <c r="S77" s="136">
        <v>7946.8</v>
      </c>
      <c r="T77" s="77">
        <f t="shared" si="5"/>
        <v>3303.2</v>
      </c>
      <c r="U77" s="78">
        <f t="shared" si="8"/>
        <v>1.4495556988110884E-3</v>
      </c>
      <c r="V77" s="65"/>
      <c r="W77" s="65"/>
    </row>
    <row r="78" spans="1:23" ht="17.100000000000001" customHeight="1" x14ac:dyDescent="0.2">
      <c r="A78" s="88" t="s">
        <v>161</v>
      </c>
      <c r="B78" s="72" t="s">
        <v>239</v>
      </c>
      <c r="C78" s="77">
        <v>5000</v>
      </c>
      <c r="D78" s="77"/>
      <c r="E78" s="77"/>
      <c r="F78" s="77"/>
      <c r="G78" s="77"/>
      <c r="H78" s="77"/>
      <c r="I78" s="77"/>
      <c r="J78" s="77"/>
      <c r="K78" s="77"/>
      <c r="L78" s="161"/>
      <c r="M78" s="161"/>
      <c r="N78" s="161"/>
      <c r="O78" s="161"/>
      <c r="P78" s="161"/>
      <c r="Q78" s="161"/>
      <c r="R78" s="77">
        <f t="shared" si="7"/>
        <v>5000</v>
      </c>
      <c r="S78" s="136">
        <v>1562.7399999999998</v>
      </c>
      <c r="T78" s="77">
        <f t="shared" si="5"/>
        <v>3437.26</v>
      </c>
      <c r="U78" s="78">
        <f t="shared" si="8"/>
        <v>2.8505545285650071E-4</v>
      </c>
      <c r="V78" s="65"/>
      <c r="W78" s="65"/>
    </row>
    <row r="79" spans="1:23" ht="17.100000000000001" customHeight="1" x14ac:dyDescent="0.2">
      <c r="A79" s="88" t="s">
        <v>163</v>
      </c>
      <c r="B79" s="72" t="s">
        <v>164</v>
      </c>
      <c r="C79" s="77">
        <v>5000</v>
      </c>
      <c r="D79" s="77"/>
      <c r="E79" s="77"/>
      <c r="F79" s="77">
        <v>11500</v>
      </c>
      <c r="G79" s="77"/>
      <c r="H79" s="77">
        <v>25000</v>
      </c>
      <c r="I79" s="77"/>
      <c r="J79" s="77"/>
      <c r="K79" s="77"/>
      <c r="L79" s="161"/>
      <c r="M79" s="161"/>
      <c r="N79" s="161"/>
      <c r="O79" s="161"/>
      <c r="P79" s="161"/>
      <c r="Q79" s="161"/>
      <c r="R79" s="77">
        <f t="shared" si="7"/>
        <v>41500</v>
      </c>
      <c r="S79" s="136">
        <v>36389.54</v>
      </c>
      <c r="T79" s="77">
        <f t="shared" si="5"/>
        <v>5110.4599999999991</v>
      </c>
      <c r="U79" s="78">
        <f t="shared" si="8"/>
        <v>6.6377240001150219E-3</v>
      </c>
      <c r="V79" s="65"/>
      <c r="W79" s="65"/>
    </row>
    <row r="80" spans="1:23" ht="17.100000000000001" customHeight="1" x14ac:dyDescent="0.2">
      <c r="A80" s="88" t="s">
        <v>165</v>
      </c>
      <c r="B80" s="72" t="s">
        <v>65</v>
      </c>
      <c r="C80" s="77">
        <v>21150</v>
      </c>
      <c r="D80" s="77">
        <v>970</v>
      </c>
      <c r="E80" s="77"/>
      <c r="F80" s="77">
        <v>24500</v>
      </c>
      <c r="G80" s="77">
        <v>9500</v>
      </c>
      <c r="H80" s="77">
        <v>10000</v>
      </c>
      <c r="I80" s="77"/>
      <c r="J80" s="77">
        <v>1000</v>
      </c>
      <c r="K80" s="77"/>
      <c r="L80" s="161"/>
      <c r="M80" s="161"/>
      <c r="N80" s="161"/>
      <c r="O80" s="161"/>
      <c r="P80" s="161"/>
      <c r="Q80" s="161">
        <v>16000</v>
      </c>
      <c r="R80" s="77">
        <f t="shared" si="7"/>
        <v>32120</v>
      </c>
      <c r="S80" s="136">
        <v>23292.5</v>
      </c>
      <c r="T80" s="77">
        <f t="shared" si="5"/>
        <v>8827.5</v>
      </c>
      <c r="U80" s="78">
        <f t="shared" si="8"/>
        <v>4.2487260425022998E-3</v>
      </c>
      <c r="V80" s="65"/>
      <c r="W80" s="65"/>
    </row>
    <row r="81" spans="1:23" ht="17.100000000000001" customHeight="1" x14ac:dyDescent="0.2">
      <c r="A81" s="88" t="s">
        <v>166</v>
      </c>
      <c r="B81" s="72" t="s">
        <v>167</v>
      </c>
      <c r="C81" s="77">
        <v>17000</v>
      </c>
      <c r="D81" s="77">
        <v>750</v>
      </c>
      <c r="E81" s="77"/>
      <c r="F81" s="77">
        <v>5000</v>
      </c>
      <c r="G81" s="77"/>
      <c r="H81" s="77">
        <v>7500</v>
      </c>
      <c r="I81" s="77"/>
      <c r="J81" s="77"/>
      <c r="K81" s="77"/>
      <c r="L81" s="161"/>
      <c r="M81" s="161"/>
      <c r="N81" s="161"/>
      <c r="O81" s="161"/>
      <c r="P81" s="161"/>
      <c r="Q81" s="161">
        <v>11500</v>
      </c>
      <c r="R81" s="77">
        <f t="shared" si="7"/>
        <v>18750</v>
      </c>
      <c r="S81" s="136">
        <v>7091.74</v>
      </c>
      <c r="T81" s="77">
        <f t="shared" si="5"/>
        <v>11658.26</v>
      </c>
      <c r="U81" s="78">
        <f t="shared" si="8"/>
        <v>1.2935863657681768E-3</v>
      </c>
      <c r="V81" s="65"/>
      <c r="W81" s="65"/>
    </row>
    <row r="82" spans="1:23" ht="17.100000000000001" customHeight="1" x14ac:dyDescent="0.2">
      <c r="A82" s="88"/>
      <c r="B82" s="72"/>
      <c r="C82" s="77"/>
      <c r="D82" s="77"/>
      <c r="E82" s="77"/>
      <c r="F82" s="77"/>
      <c r="G82" s="77"/>
      <c r="H82" s="77"/>
      <c r="I82" s="77"/>
      <c r="J82" s="77"/>
      <c r="K82" s="77"/>
      <c r="L82" s="161"/>
      <c r="M82" s="161"/>
      <c r="N82" s="161"/>
      <c r="O82" s="161"/>
      <c r="P82" s="161"/>
      <c r="Q82" s="161"/>
      <c r="R82" s="77"/>
      <c r="S82" s="136"/>
      <c r="T82" s="77"/>
      <c r="U82" s="78"/>
      <c r="V82" s="65"/>
      <c r="W82" s="65"/>
    </row>
    <row r="83" spans="1:23" ht="17.100000000000001" customHeight="1" x14ac:dyDescent="0.2">
      <c r="A83" s="88"/>
      <c r="B83" s="72"/>
      <c r="C83" s="77"/>
      <c r="D83" s="77"/>
      <c r="E83" s="77"/>
      <c r="F83" s="77"/>
      <c r="G83" s="77"/>
      <c r="H83" s="77"/>
      <c r="I83" s="77"/>
      <c r="J83" s="77"/>
      <c r="K83" s="77"/>
      <c r="L83" s="161"/>
      <c r="M83" s="161"/>
      <c r="N83" s="161"/>
      <c r="O83" s="161"/>
      <c r="P83" s="161"/>
      <c r="Q83" s="161"/>
      <c r="R83" s="77"/>
      <c r="S83" s="136"/>
      <c r="T83" s="77"/>
      <c r="U83" s="78"/>
      <c r="V83" s="65"/>
      <c r="W83" s="65"/>
    </row>
    <row r="84" spans="1:23" ht="17.100000000000001" customHeight="1" x14ac:dyDescent="0.2">
      <c r="A84" s="88"/>
      <c r="B84" s="72"/>
      <c r="C84" s="77"/>
      <c r="D84" s="77"/>
      <c r="E84" s="77"/>
      <c r="F84" s="77"/>
      <c r="G84" s="77"/>
      <c r="H84" s="77"/>
      <c r="I84" s="77"/>
      <c r="J84" s="77"/>
      <c r="K84" s="77"/>
      <c r="L84" s="161"/>
      <c r="M84" s="161"/>
      <c r="N84" s="161"/>
      <c r="O84" s="161"/>
      <c r="P84" s="161"/>
      <c r="Q84" s="161"/>
      <c r="R84" s="77"/>
      <c r="S84" s="136"/>
      <c r="T84" s="77"/>
      <c r="U84" s="78"/>
      <c r="V84" s="65"/>
      <c r="W84" s="65"/>
    </row>
    <row r="85" spans="1:23" ht="17.100000000000001" customHeight="1" x14ac:dyDescent="0.2">
      <c r="A85" s="88"/>
      <c r="B85" s="72"/>
      <c r="C85" s="77"/>
      <c r="D85" s="77"/>
      <c r="E85" s="77"/>
      <c r="F85" s="77"/>
      <c r="G85" s="77"/>
      <c r="H85" s="77"/>
      <c r="I85" s="77"/>
      <c r="J85" s="77"/>
      <c r="K85" s="77"/>
      <c r="L85" s="161"/>
      <c r="M85" s="161"/>
      <c r="N85" s="161"/>
      <c r="O85" s="161"/>
      <c r="P85" s="161"/>
      <c r="Q85" s="161"/>
      <c r="R85" s="77"/>
      <c r="S85" s="136"/>
      <c r="T85" s="77"/>
      <c r="U85" s="78"/>
      <c r="V85" s="65"/>
      <c r="W85" s="65"/>
    </row>
    <row r="86" spans="1:23" ht="17.100000000000001" customHeight="1" x14ac:dyDescent="0.25">
      <c r="A86" s="86">
        <v>2</v>
      </c>
      <c r="B86" s="87" t="s">
        <v>66</v>
      </c>
      <c r="C86" s="77"/>
      <c r="D86" s="77"/>
      <c r="E86" s="77"/>
      <c r="F86" s="77"/>
      <c r="G86" s="77"/>
      <c r="H86" s="77"/>
      <c r="I86" s="77"/>
      <c r="J86" s="77"/>
      <c r="K86" s="77"/>
      <c r="L86" s="161"/>
      <c r="M86" s="161"/>
      <c r="N86" s="161"/>
      <c r="O86" s="161"/>
      <c r="P86" s="161"/>
      <c r="Q86" s="161"/>
      <c r="R86" s="77"/>
      <c r="S86" s="136"/>
      <c r="T86" s="77"/>
      <c r="U86" s="78"/>
      <c r="V86" s="65"/>
      <c r="W86" s="65"/>
    </row>
    <row r="87" spans="1:23" ht="17.100000000000001" customHeight="1" x14ac:dyDescent="0.2">
      <c r="A87" s="88" t="s">
        <v>168</v>
      </c>
      <c r="B87" s="72" t="s">
        <v>67</v>
      </c>
      <c r="C87" s="77">
        <v>116357.64</v>
      </c>
      <c r="D87" s="77">
        <v>40914</v>
      </c>
      <c r="E87" s="77"/>
      <c r="F87" s="77">
        <v>8500</v>
      </c>
      <c r="G87" s="77"/>
      <c r="H87" s="77"/>
      <c r="I87" s="77"/>
      <c r="J87" s="77">
        <v>5500</v>
      </c>
      <c r="K87" s="77"/>
      <c r="L87" s="161"/>
      <c r="M87" s="161"/>
      <c r="N87" s="161"/>
      <c r="O87" s="161"/>
      <c r="P87" s="161"/>
      <c r="Q87" s="161"/>
      <c r="R87" s="77">
        <f t="shared" si="7"/>
        <v>171271.64</v>
      </c>
      <c r="S87" s="136">
        <v>80679.829999999987</v>
      </c>
      <c r="T87" s="77">
        <f t="shared" si="5"/>
        <v>90591.810000000027</v>
      </c>
      <c r="U87" s="78">
        <f t="shared" ref="U87:U116" si="9">S87/$S$140</f>
        <v>1.4716603834953667E-2</v>
      </c>
      <c r="V87" s="65"/>
      <c r="W87" s="65"/>
    </row>
    <row r="88" spans="1:23" ht="17.100000000000001" customHeight="1" x14ac:dyDescent="0.2">
      <c r="A88" s="88" t="s">
        <v>254</v>
      </c>
      <c r="B88" s="72" t="s">
        <v>255</v>
      </c>
      <c r="C88" s="77">
        <v>0</v>
      </c>
      <c r="D88" s="77">
        <v>750</v>
      </c>
      <c r="E88" s="77"/>
      <c r="F88" s="77"/>
      <c r="G88" s="77"/>
      <c r="H88" s="77"/>
      <c r="I88" s="77"/>
      <c r="J88" s="77"/>
      <c r="K88" s="77"/>
      <c r="L88" s="161"/>
      <c r="M88" s="161"/>
      <c r="N88" s="161"/>
      <c r="O88" s="161"/>
      <c r="P88" s="161"/>
      <c r="Q88" s="161"/>
      <c r="R88" s="77">
        <f t="shared" si="7"/>
        <v>750</v>
      </c>
      <c r="S88" s="154">
        <v>63</v>
      </c>
      <c r="T88" s="77">
        <f t="shared" si="5"/>
        <v>687</v>
      </c>
      <c r="U88" s="78">
        <f t="shared" si="9"/>
        <v>1.1491670738548669E-5</v>
      </c>
      <c r="V88" s="65"/>
      <c r="W88" s="65"/>
    </row>
    <row r="89" spans="1:23" ht="17.100000000000001" customHeight="1" x14ac:dyDescent="0.2">
      <c r="A89" s="88" t="s">
        <v>170</v>
      </c>
      <c r="B89" s="72" t="s">
        <v>69</v>
      </c>
      <c r="C89" s="77">
        <v>2080</v>
      </c>
      <c r="D89" s="77">
        <v>4500</v>
      </c>
      <c r="E89" s="77"/>
      <c r="F89" s="77">
        <v>3000</v>
      </c>
      <c r="G89" s="77"/>
      <c r="H89" s="77"/>
      <c r="I89" s="77"/>
      <c r="J89" s="77"/>
      <c r="K89" s="77"/>
      <c r="L89" s="161"/>
      <c r="M89" s="161"/>
      <c r="N89" s="161"/>
      <c r="O89" s="161"/>
      <c r="P89" s="161"/>
      <c r="Q89" s="161"/>
      <c r="R89" s="77">
        <f t="shared" si="7"/>
        <v>9580</v>
      </c>
      <c r="S89" s="136">
        <v>3857</v>
      </c>
      <c r="T89" s="77">
        <f t="shared" si="5"/>
        <v>5723</v>
      </c>
      <c r="U89" s="78">
        <f t="shared" si="9"/>
        <v>7.0354561966003528E-4</v>
      </c>
      <c r="V89" s="65"/>
      <c r="W89" s="65"/>
    </row>
    <row r="90" spans="1:23" ht="17.100000000000001" customHeight="1" x14ac:dyDescent="0.2">
      <c r="A90" s="88" t="s">
        <v>171</v>
      </c>
      <c r="B90" s="72" t="s">
        <v>307</v>
      </c>
      <c r="C90" s="77">
        <v>62500</v>
      </c>
      <c r="D90" s="77">
        <v>6450</v>
      </c>
      <c r="E90" s="77"/>
      <c r="F90" s="77">
        <v>7500</v>
      </c>
      <c r="G90" s="77"/>
      <c r="H90" s="77"/>
      <c r="I90" s="77"/>
      <c r="J90" s="77">
        <v>2000</v>
      </c>
      <c r="K90" s="77"/>
      <c r="L90" s="161"/>
      <c r="M90" s="161"/>
      <c r="N90" s="161"/>
      <c r="O90" s="161">
        <v>25000</v>
      </c>
      <c r="P90" s="161">
        <v>20000</v>
      </c>
      <c r="Q90" s="161"/>
      <c r="R90" s="77">
        <f t="shared" si="7"/>
        <v>73450</v>
      </c>
      <c r="S90" s="136">
        <v>67832.3</v>
      </c>
      <c r="T90" s="77">
        <f t="shared" si="5"/>
        <v>5617.6999999999971</v>
      </c>
      <c r="U90" s="78">
        <f t="shared" si="9"/>
        <v>1.2373118365689762E-2</v>
      </c>
      <c r="V90" s="65"/>
      <c r="W90" s="65"/>
    </row>
    <row r="91" spans="1:23" ht="17.100000000000001" customHeight="1" x14ac:dyDescent="0.2">
      <c r="A91" s="88" t="s">
        <v>172</v>
      </c>
      <c r="B91" s="72" t="s">
        <v>71</v>
      </c>
      <c r="C91" s="77">
        <v>6000</v>
      </c>
      <c r="D91" s="77">
        <v>750</v>
      </c>
      <c r="E91" s="77"/>
      <c r="F91" s="77"/>
      <c r="G91" s="77"/>
      <c r="H91" s="77"/>
      <c r="I91" s="77"/>
      <c r="J91" s="77"/>
      <c r="K91" s="77"/>
      <c r="L91" s="161"/>
      <c r="M91" s="161"/>
      <c r="N91" s="161"/>
      <c r="O91" s="161"/>
      <c r="P91" s="161"/>
      <c r="Q91" s="161"/>
      <c r="R91" s="77">
        <f t="shared" si="7"/>
        <v>6750</v>
      </c>
      <c r="S91" s="136">
        <v>3443.05</v>
      </c>
      <c r="T91" s="77">
        <f t="shared" si="5"/>
        <v>3306.95</v>
      </c>
      <c r="U91" s="78">
        <f t="shared" si="9"/>
        <v>6.2803804660888887E-4</v>
      </c>
      <c r="V91" s="65"/>
      <c r="W91" s="65"/>
    </row>
    <row r="92" spans="1:23" ht="17.100000000000001" customHeight="1" x14ac:dyDescent="0.2">
      <c r="A92" s="88" t="s">
        <v>173</v>
      </c>
      <c r="B92" s="72" t="s">
        <v>72</v>
      </c>
      <c r="C92" s="77">
        <v>1100</v>
      </c>
      <c r="D92" s="77"/>
      <c r="E92" s="77"/>
      <c r="F92" s="77"/>
      <c r="G92" s="77"/>
      <c r="H92" s="77"/>
      <c r="I92" s="77"/>
      <c r="J92" s="77"/>
      <c r="K92" s="77"/>
      <c r="L92" s="161">
        <v>2000</v>
      </c>
      <c r="M92" s="161"/>
      <c r="N92" s="161"/>
      <c r="O92" s="161"/>
      <c r="P92" s="161"/>
      <c r="Q92" s="161"/>
      <c r="R92" s="77">
        <f t="shared" si="7"/>
        <v>3100</v>
      </c>
      <c r="S92" s="136">
        <v>1365.3</v>
      </c>
      <c r="T92" s="77">
        <f t="shared" si="5"/>
        <v>1734.7</v>
      </c>
      <c r="U92" s="78">
        <f t="shared" si="9"/>
        <v>2.4904092157683331E-4</v>
      </c>
      <c r="V92" s="65"/>
      <c r="W92" s="65"/>
    </row>
    <row r="93" spans="1:23" ht="17.100000000000001" customHeight="1" x14ac:dyDescent="0.2">
      <c r="A93" s="88" t="s">
        <v>174</v>
      </c>
      <c r="B93" s="72" t="s">
        <v>175</v>
      </c>
      <c r="C93" s="77">
        <v>2255</v>
      </c>
      <c r="D93" s="77"/>
      <c r="E93" s="77"/>
      <c r="F93" s="77"/>
      <c r="G93" s="77"/>
      <c r="H93" s="77"/>
      <c r="I93" s="77"/>
      <c r="J93" s="77"/>
      <c r="K93" s="77"/>
      <c r="L93" s="161"/>
      <c r="M93" s="161"/>
      <c r="N93" s="161"/>
      <c r="O93" s="161"/>
      <c r="P93" s="161"/>
      <c r="Q93" s="161"/>
      <c r="R93" s="77">
        <f t="shared" si="7"/>
        <v>2255</v>
      </c>
      <c r="S93" s="136">
        <v>2088.4</v>
      </c>
      <c r="T93" s="77">
        <f t="shared" si="5"/>
        <v>166.59999999999991</v>
      </c>
      <c r="U93" s="78">
        <f t="shared" si="9"/>
        <v>3.8093976460928637E-4</v>
      </c>
      <c r="V93" s="65"/>
      <c r="W93" s="65"/>
    </row>
    <row r="94" spans="1:23" ht="17.100000000000001" customHeight="1" x14ac:dyDescent="0.2">
      <c r="A94" s="88" t="s">
        <v>176</v>
      </c>
      <c r="B94" s="72" t="s">
        <v>177</v>
      </c>
      <c r="C94" s="77">
        <v>1300</v>
      </c>
      <c r="D94" s="77"/>
      <c r="E94" s="77"/>
      <c r="F94" s="77"/>
      <c r="G94" s="77"/>
      <c r="H94" s="77"/>
      <c r="I94" s="77"/>
      <c r="J94" s="77"/>
      <c r="K94" s="77"/>
      <c r="L94" s="161"/>
      <c r="M94" s="161"/>
      <c r="N94" s="161"/>
      <c r="O94" s="161"/>
      <c r="P94" s="161"/>
      <c r="Q94" s="161"/>
      <c r="R94" s="77">
        <f t="shared" si="7"/>
        <v>1300</v>
      </c>
      <c r="S94" s="136">
        <v>816</v>
      </c>
      <c r="T94" s="77">
        <f t="shared" si="5"/>
        <v>484</v>
      </c>
      <c r="U94" s="78">
        <f t="shared" si="9"/>
        <v>1.4884449718501134E-4</v>
      </c>
      <c r="V94" s="65"/>
      <c r="W94" s="65"/>
    </row>
    <row r="95" spans="1:23" ht="17.100000000000001" customHeight="1" x14ac:dyDescent="0.2">
      <c r="A95" s="88" t="s">
        <v>178</v>
      </c>
      <c r="B95" s="72" t="s">
        <v>179</v>
      </c>
      <c r="C95" s="77">
        <v>7500</v>
      </c>
      <c r="D95" s="77"/>
      <c r="E95" s="77"/>
      <c r="F95" s="77"/>
      <c r="G95" s="77"/>
      <c r="H95" s="77"/>
      <c r="I95" s="77"/>
      <c r="J95" s="77"/>
      <c r="K95" s="77"/>
      <c r="L95" s="161"/>
      <c r="M95" s="161"/>
      <c r="N95" s="161"/>
      <c r="O95" s="161"/>
      <c r="P95" s="161"/>
      <c r="Q95" s="161"/>
      <c r="R95" s="77">
        <f t="shared" si="7"/>
        <v>7500</v>
      </c>
      <c r="S95" s="136">
        <v>0</v>
      </c>
      <c r="T95" s="77">
        <f t="shared" si="5"/>
        <v>7500</v>
      </c>
      <c r="U95" s="78">
        <f t="shared" si="9"/>
        <v>0</v>
      </c>
      <c r="V95" s="65"/>
      <c r="W95" s="65"/>
    </row>
    <row r="96" spans="1:23" ht="17.100000000000001" customHeight="1" x14ac:dyDescent="0.2">
      <c r="A96" s="88" t="s">
        <v>180</v>
      </c>
      <c r="B96" s="72" t="s">
        <v>73</v>
      </c>
      <c r="C96" s="77">
        <v>200</v>
      </c>
      <c r="D96" s="77">
        <v>1050</v>
      </c>
      <c r="E96" s="77"/>
      <c r="F96" s="77"/>
      <c r="G96" s="77"/>
      <c r="H96" s="77"/>
      <c r="I96" s="77"/>
      <c r="J96" s="77"/>
      <c r="K96" s="77"/>
      <c r="L96" s="161"/>
      <c r="M96" s="161"/>
      <c r="N96" s="161"/>
      <c r="O96" s="161"/>
      <c r="P96" s="161"/>
      <c r="Q96" s="161"/>
      <c r="R96" s="77">
        <f t="shared" si="7"/>
        <v>1250</v>
      </c>
      <c r="S96" s="136">
        <v>926</v>
      </c>
      <c r="T96" s="77">
        <f t="shared" si="5"/>
        <v>324</v>
      </c>
      <c r="U96" s="78">
        <f t="shared" si="9"/>
        <v>1.6890931910946139E-4</v>
      </c>
      <c r="V96" s="65"/>
      <c r="W96" s="65"/>
    </row>
    <row r="97" spans="1:23" ht="17.100000000000001" customHeight="1" x14ac:dyDescent="0.2">
      <c r="A97" s="88" t="s">
        <v>181</v>
      </c>
      <c r="B97" s="72" t="s">
        <v>74</v>
      </c>
      <c r="C97" s="77">
        <v>10920</v>
      </c>
      <c r="D97" s="77"/>
      <c r="E97" s="77">
        <v>2700</v>
      </c>
      <c r="F97" s="77"/>
      <c r="G97" s="77"/>
      <c r="H97" s="77"/>
      <c r="I97" s="77"/>
      <c r="J97" s="77"/>
      <c r="K97" s="77"/>
      <c r="L97" s="161">
        <v>3000</v>
      </c>
      <c r="M97" s="161"/>
      <c r="N97" s="161"/>
      <c r="O97" s="161"/>
      <c r="P97" s="161"/>
      <c r="Q97" s="161"/>
      <c r="R97" s="77">
        <f t="shared" si="7"/>
        <v>11220</v>
      </c>
      <c r="S97" s="136">
        <v>10894.81</v>
      </c>
      <c r="T97" s="77">
        <f t="shared" si="5"/>
        <v>325.19000000000051</v>
      </c>
      <c r="U97" s="78">
        <f t="shared" si="9"/>
        <v>1.9872947504610701E-3</v>
      </c>
      <c r="V97" s="65"/>
      <c r="W97" s="65"/>
    </row>
    <row r="98" spans="1:23" ht="17.100000000000001" customHeight="1" x14ac:dyDescent="0.2">
      <c r="A98" s="88" t="s">
        <v>182</v>
      </c>
      <c r="B98" s="72" t="s">
        <v>183</v>
      </c>
      <c r="C98" s="77">
        <v>1850</v>
      </c>
      <c r="D98" s="77"/>
      <c r="E98" s="77"/>
      <c r="F98" s="77"/>
      <c r="G98" s="77"/>
      <c r="H98" s="77">
        <v>3500</v>
      </c>
      <c r="I98" s="77"/>
      <c r="J98" s="77"/>
      <c r="K98" s="77"/>
      <c r="L98" s="161"/>
      <c r="M98" s="161"/>
      <c r="N98" s="161"/>
      <c r="O98" s="161"/>
      <c r="P98" s="161">
        <v>3500</v>
      </c>
      <c r="Q98" s="161"/>
      <c r="R98" s="77">
        <f t="shared" si="7"/>
        <v>8850</v>
      </c>
      <c r="S98" s="136">
        <v>4918.2199999999993</v>
      </c>
      <c r="T98" s="77">
        <f t="shared" si="5"/>
        <v>3931.7800000000007</v>
      </c>
      <c r="U98" s="78">
        <f t="shared" si="9"/>
        <v>8.9712007713880679E-4</v>
      </c>
      <c r="V98" s="65"/>
      <c r="W98" s="65"/>
    </row>
    <row r="99" spans="1:23" ht="17.100000000000001" customHeight="1" x14ac:dyDescent="0.2">
      <c r="A99" s="88" t="s">
        <v>184</v>
      </c>
      <c r="B99" s="72" t="s">
        <v>75</v>
      </c>
      <c r="C99" s="77">
        <v>19000</v>
      </c>
      <c r="D99" s="77">
        <v>3250</v>
      </c>
      <c r="E99" s="77"/>
      <c r="F99" s="77">
        <v>8640</v>
      </c>
      <c r="G99" s="77"/>
      <c r="H99" s="77">
        <v>10500</v>
      </c>
      <c r="I99" s="77"/>
      <c r="J99" s="77"/>
      <c r="K99" s="77"/>
      <c r="L99" s="161"/>
      <c r="M99" s="161"/>
      <c r="N99" s="161"/>
      <c r="O99" s="161"/>
      <c r="P99" s="161"/>
      <c r="Q99" s="161"/>
      <c r="R99" s="77">
        <f t="shared" si="7"/>
        <v>41390</v>
      </c>
      <c r="S99" s="136">
        <v>31385.94</v>
      </c>
      <c r="T99" s="77">
        <f t="shared" si="5"/>
        <v>10004.060000000001</v>
      </c>
      <c r="U99" s="78">
        <f t="shared" si="9"/>
        <v>5.7250299730134003E-3</v>
      </c>
      <c r="V99" s="65"/>
      <c r="W99" s="65"/>
    </row>
    <row r="100" spans="1:23" ht="17.100000000000001" customHeight="1" x14ac:dyDescent="0.2">
      <c r="A100" s="88" t="s">
        <v>185</v>
      </c>
      <c r="B100" s="72" t="s">
        <v>186</v>
      </c>
      <c r="C100" s="77">
        <v>4793.1600000000008</v>
      </c>
      <c r="D100" s="77">
        <v>17750</v>
      </c>
      <c r="E100" s="77"/>
      <c r="F100" s="77">
        <v>985</v>
      </c>
      <c r="G100" s="77"/>
      <c r="H100" s="77"/>
      <c r="I100" s="77"/>
      <c r="J100" s="77"/>
      <c r="K100" s="77"/>
      <c r="L100" s="161"/>
      <c r="M100" s="161">
        <v>10000</v>
      </c>
      <c r="N100" s="161"/>
      <c r="O100" s="161"/>
      <c r="P100" s="161"/>
      <c r="Q100" s="161"/>
      <c r="R100" s="77">
        <f t="shared" ref="R100:R138" si="10">C100+D100-E100+F100-G100+H100-I100+J100-K100+L100-M100+N100-O100+P100-Q100</f>
        <v>13528.16</v>
      </c>
      <c r="S100" s="136">
        <v>3480.1600000000003</v>
      </c>
      <c r="T100" s="77">
        <f t="shared" si="5"/>
        <v>10048</v>
      </c>
      <c r="U100" s="78">
        <f t="shared" si="9"/>
        <v>6.348071878963102E-4</v>
      </c>
      <c r="V100" s="65"/>
      <c r="W100" s="65"/>
    </row>
    <row r="101" spans="1:23" ht="17.100000000000001" customHeight="1" x14ac:dyDescent="0.2">
      <c r="A101" s="88" t="s">
        <v>187</v>
      </c>
      <c r="B101" s="72" t="s">
        <v>275</v>
      </c>
      <c r="C101" s="77">
        <v>1250</v>
      </c>
      <c r="D101" s="77"/>
      <c r="E101" s="77"/>
      <c r="F101" s="77">
        <v>650</v>
      </c>
      <c r="G101" s="77"/>
      <c r="H101" s="77"/>
      <c r="I101" s="77"/>
      <c r="J101" s="77"/>
      <c r="K101" s="77"/>
      <c r="L101" s="161"/>
      <c r="M101" s="161"/>
      <c r="N101" s="161"/>
      <c r="O101" s="161"/>
      <c r="P101" s="161"/>
      <c r="Q101" s="161"/>
      <c r="R101" s="77">
        <f t="shared" si="10"/>
        <v>1900</v>
      </c>
      <c r="S101" s="136">
        <v>1511</v>
      </c>
      <c r="T101" s="77">
        <f t="shared" ref="T101:T138" si="11">R101-S101</f>
        <v>389</v>
      </c>
      <c r="U101" s="78">
        <f t="shared" si="9"/>
        <v>2.7561769025312763E-4</v>
      </c>
      <c r="V101" s="65"/>
      <c r="W101" s="65"/>
    </row>
    <row r="102" spans="1:23" ht="17.100000000000001" customHeight="1" x14ac:dyDescent="0.2">
      <c r="A102" s="88" t="s">
        <v>189</v>
      </c>
      <c r="B102" s="72" t="s">
        <v>76</v>
      </c>
      <c r="C102" s="77">
        <v>165089.08000000002</v>
      </c>
      <c r="D102" s="77"/>
      <c r="E102" s="77">
        <v>2000</v>
      </c>
      <c r="F102" s="77"/>
      <c r="G102" s="77">
        <v>77463</v>
      </c>
      <c r="H102" s="77"/>
      <c r="I102" s="77"/>
      <c r="J102" s="77"/>
      <c r="K102" s="77"/>
      <c r="L102" s="161"/>
      <c r="M102" s="161"/>
      <c r="N102" s="161"/>
      <c r="O102" s="161"/>
      <c r="P102" s="161"/>
      <c r="Q102" s="161"/>
      <c r="R102" s="77">
        <f t="shared" si="10"/>
        <v>85626.080000000016</v>
      </c>
      <c r="S102" s="136">
        <v>83271.08</v>
      </c>
      <c r="T102" s="77">
        <f t="shared" si="11"/>
        <v>2355.0000000000146</v>
      </c>
      <c r="U102" s="78">
        <f t="shared" si="9"/>
        <v>1.5189267196878499E-2</v>
      </c>
      <c r="V102" s="65"/>
      <c r="W102" s="65"/>
    </row>
    <row r="103" spans="1:23" ht="17.100000000000001" customHeight="1" x14ac:dyDescent="0.2">
      <c r="A103" s="88" t="s">
        <v>190</v>
      </c>
      <c r="B103" s="72" t="s">
        <v>77</v>
      </c>
      <c r="C103" s="77">
        <v>0</v>
      </c>
      <c r="D103" s="77"/>
      <c r="E103" s="77"/>
      <c r="F103" s="77"/>
      <c r="G103" s="77"/>
      <c r="H103" s="77"/>
      <c r="I103" s="77"/>
      <c r="J103" s="77"/>
      <c r="K103" s="77"/>
      <c r="L103" s="161"/>
      <c r="M103" s="161"/>
      <c r="N103" s="161"/>
      <c r="O103" s="161"/>
      <c r="P103" s="161"/>
      <c r="Q103" s="161"/>
      <c r="R103" s="77">
        <f t="shared" si="10"/>
        <v>0</v>
      </c>
      <c r="S103" s="136">
        <v>0</v>
      </c>
      <c r="T103" s="77">
        <f t="shared" si="11"/>
        <v>0</v>
      </c>
      <c r="U103" s="78">
        <f t="shared" si="9"/>
        <v>0</v>
      </c>
      <c r="V103" s="65"/>
      <c r="W103" s="65"/>
    </row>
    <row r="104" spans="1:23" ht="17.100000000000001" customHeight="1" x14ac:dyDescent="0.2">
      <c r="A104" s="88" t="s">
        <v>256</v>
      </c>
      <c r="B104" s="72" t="s">
        <v>257</v>
      </c>
      <c r="C104" s="77">
        <v>0</v>
      </c>
      <c r="D104" s="77">
        <v>1200</v>
      </c>
      <c r="E104" s="77"/>
      <c r="F104" s="77"/>
      <c r="G104" s="77"/>
      <c r="H104" s="77"/>
      <c r="I104" s="77"/>
      <c r="J104" s="77"/>
      <c r="K104" s="77"/>
      <c r="L104" s="161"/>
      <c r="M104" s="161"/>
      <c r="N104" s="161"/>
      <c r="O104" s="161"/>
      <c r="P104" s="161"/>
      <c r="Q104" s="161"/>
      <c r="R104" s="77">
        <f t="shared" si="10"/>
        <v>1200</v>
      </c>
      <c r="S104" s="136">
        <v>75</v>
      </c>
      <c r="T104" s="77">
        <f t="shared" si="11"/>
        <v>1125</v>
      </c>
      <c r="U104" s="78">
        <f t="shared" si="9"/>
        <v>1.3680560403034131E-5</v>
      </c>
      <c r="V104" s="65"/>
      <c r="W104" s="65"/>
    </row>
    <row r="105" spans="1:23" ht="17.100000000000001" customHeight="1" x14ac:dyDescent="0.2">
      <c r="A105" s="88" t="s">
        <v>258</v>
      </c>
      <c r="B105" s="72" t="s">
        <v>259</v>
      </c>
      <c r="C105" s="77">
        <v>0</v>
      </c>
      <c r="D105" s="77">
        <v>750</v>
      </c>
      <c r="E105" s="77"/>
      <c r="F105" s="77"/>
      <c r="G105" s="77"/>
      <c r="H105" s="77"/>
      <c r="I105" s="77"/>
      <c r="J105" s="77"/>
      <c r="K105" s="77"/>
      <c r="L105" s="161"/>
      <c r="M105" s="161"/>
      <c r="N105" s="161"/>
      <c r="O105" s="161"/>
      <c r="P105" s="161"/>
      <c r="Q105" s="161"/>
      <c r="R105" s="77">
        <f t="shared" si="10"/>
        <v>750</v>
      </c>
      <c r="S105" s="136">
        <v>0</v>
      </c>
      <c r="T105" s="77">
        <f t="shared" si="11"/>
        <v>750</v>
      </c>
      <c r="U105" s="78">
        <f t="shared" si="9"/>
        <v>0</v>
      </c>
      <c r="V105" s="65"/>
      <c r="W105" s="65"/>
    </row>
    <row r="106" spans="1:23" ht="17.100000000000001" customHeight="1" x14ac:dyDescent="0.2">
      <c r="A106" s="88" t="s">
        <v>191</v>
      </c>
      <c r="B106" s="72" t="s">
        <v>78</v>
      </c>
      <c r="C106" s="77">
        <v>1000</v>
      </c>
      <c r="D106" s="77"/>
      <c r="E106" s="77"/>
      <c r="F106" s="77"/>
      <c r="G106" s="77"/>
      <c r="H106" s="77">
        <v>1500</v>
      </c>
      <c r="I106" s="77"/>
      <c r="J106" s="77"/>
      <c r="K106" s="77"/>
      <c r="L106" s="161"/>
      <c r="M106" s="161"/>
      <c r="N106" s="161"/>
      <c r="O106" s="161"/>
      <c r="P106" s="161"/>
      <c r="Q106" s="161"/>
      <c r="R106" s="77">
        <f t="shared" si="10"/>
        <v>2500</v>
      </c>
      <c r="S106" s="136">
        <v>1528</v>
      </c>
      <c r="T106" s="77">
        <f t="shared" si="11"/>
        <v>972</v>
      </c>
      <c r="U106" s="78">
        <f t="shared" si="9"/>
        <v>2.7871861727781535E-4</v>
      </c>
      <c r="V106" s="65"/>
      <c r="W106" s="65"/>
    </row>
    <row r="107" spans="1:23" ht="17.100000000000001" customHeight="1" x14ac:dyDescent="0.2">
      <c r="A107" s="88" t="s">
        <v>192</v>
      </c>
      <c r="B107" s="72" t="s">
        <v>79</v>
      </c>
      <c r="C107" s="77">
        <v>7500</v>
      </c>
      <c r="D107" s="77"/>
      <c r="E107" s="77"/>
      <c r="F107" s="77">
        <v>2500</v>
      </c>
      <c r="G107" s="77"/>
      <c r="H107" s="77"/>
      <c r="I107" s="77"/>
      <c r="J107" s="77"/>
      <c r="K107" s="77"/>
      <c r="L107" s="161"/>
      <c r="M107" s="161">
        <v>10000</v>
      </c>
      <c r="N107" s="161"/>
      <c r="O107" s="161"/>
      <c r="P107" s="161"/>
      <c r="Q107" s="161"/>
      <c r="R107" s="77">
        <f t="shared" si="10"/>
        <v>0</v>
      </c>
      <c r="S107" s="136">
        <v>0</v>
      </c>
      <c r="T107" s="77">
        <f t="shared" si="11"/>
        <v>0</v>
      </c>
      <c r="U107" s="78">
        <f t="shared" si="9"/>
        <v>0</v>
      </c>
      <c r="V107" s="97"/>
      <c r="W107" s="65"/>
    </row>
    <row r="108" spans="1:23" ht="17.100000000000001" customHeight="1" x14ac:dyDescent="0.2">
      <c r="A108" s="88" t="s">
        <v>193</v>
      </c>
      <c r="B108" s="72" t="s">
        <v>194</v>
      </c>
      <c r="C108" s="77">
        <v>1125749.23</v>
      </c>
      <c r="D108" s="77"/>
      <c r="E108" s="77">
        <v>8775</v>
      </c>
      <c r="F108" s="77"/>
      <c r="G108" s="77"/>
      <c r="H108" s="77"/>
      <c r="I108" s="77">
        <v>25000</v>
      </c>
      <c r="J108" s="77"/>
      <c r="K108" s="77">
        <v>178000</v>
      </c>
      <c r="L108" s="161"/>
      <c r="M108" s="161">
        <f>68000</f>
        <v>68000</v>
      </c>
      <c r="N108" s="161"/>
      <c r="O108" s="161">
        <v>45000</v>
      </c>
      <c r="P108" s="161"/>
      <c r="Q108" s="161"/>
      <c r="R108" s="77">
        <f t="shared" si="10"/>
        <v>800974.23</v>
      </c>
      <c r="S108" s="136">
        <v>786035.81</v>
      </c>
      <c r="T108" s="77">
        <f t="shared" si="11"/>
        <v>14938.419999999925</v>
      </c>
      <c r="U108" s="78">
        <f t="shared" si="9"/>
        <v>0.14337880503537148</v>
      </c>
      <c r="V108" s="147"/>
      <c r="W108" s="97"/>
    </row>
    <row r="109" spans="1:23" ht="17.100000000000001" customHeight="1" x14ac:dyDescent="0.2">
      <c r="A109" s="88" t="s">
        <v>260</v>
      </c>
      <c r="B109" s="72" t="s">
        <v>261</v>
      </c>
      <c r="C109" s="77">
        <v>0</v>
      </c>
      <c r="D109" s="77">
        <v>1750</v>
      </c>
      <c r="E109" s="77"/>
      <c r="F109" s="77"/>
      <c r="G109" s="77"/>
      <c r="H109" s="77">
        <v>2000</v>
      </c>
      <c r="I109" s="77"/>
      <c r="J109" s="77"/>
      <c r="K109" s="77"/>
      <c r="L109" s="161"/>
      <c r="M109" s="161"/>
      <c r="N109" s="161"/>
      <c r="O109" s="161"/>
      <c r="P109" s="161"/>
      <c r="Q109" s="161"/>
      <c r="R109" s="77">
        <f t="shared" si="10"/>
        <v>3750</v>
      </c>
      <c r="S109" s="136">
        <v>878.48</v>
      </c>
      <c r="T109" s="77">
        <f t="shared" si="11"/>
        <v>2871.52</v>
      </c>
      <c r="U109" s="78">
        <f t="shared" si="9"/>
        <v>1.6024131603809897E-4</v>
      </c>
      <c r="V109" s="65"/>
      <c r="W109" s="65"/>
    </row>
    <row r="110" spans="1:23" ht="17.100000000000001" customHeight="1" x14ac:dyDescent="0.2">
      <c r="A110" s="88" t="s">
        <v>195</v>
      </c>
      <c r="B110" s="72" t="s">
        <v>80</v>
      </c>
      <c r="C110" s="77">
        <v>9940</v>
      </c>
      <c r="D110" s="77"/>
      <c r="E110" s="77">
        <v>625</v>
      </c>
      <c r="F110" s="77"/>
      <c r="G110" s="77"/>
      <c r="H110" s="77"/>
      <c r="I110" s="77"/>
      <c r="J110" s="77"/>
      <c r="K110" s="77"/>
      <c r="L110" s="161"/>
      <c r="M110" s="161"/>
      <c r="N110" s="161"/>
      <c r="O110" s="161"/>
      <c r="P110" s="161"/>
      <c r="Q110" s="161"/>
      <c r="R110" s="77">
        <f t="shared" si="10"/>
        <v>9315</v>
      </c>
      <c r="S110" s="136">
        <v>5247.84</v>
      </c>
      <c r="T110" s="77">
        <f t="shared" si="11"/>
        <v>4067.16</v>
      </c>
      <c r="U110" s="78">
        <f t="shared" si="9"/>
        <v>9.5724522807278181E-4</v>
      </c>
      <c r="V110" s="65"/>
      <c r="W110" s="65"/>
    </row>
    <row r="111" spans="1:23" ht="17.100000000000001" customHeight="1" x14ac:dyDescent="0.2">
      <c r="A111" s="88" t="s">
        <v>196</v>
      </c>
      <c r="B111" s="72" t="s">
        <v>197</v>
      </c>
      <c r="C111" s="77">
        <v>2250</v>
      </c>
      <c r="D111" s="77"/>
      <c r="E111" s="77">
        <v>450</v>
      </c>
      <c r="F111" s="77"/>
      <c r="G111" s="77"/>
      <c r="H111" s="77"/>
      <c r="I111" s="77"/>
      <c r="J111" s="77"/>
      <c r="K111" s="77"/>
      <c r="L111" s="161">
        <v>1000</v>
      </c>
      <c r="M111" s="161"/>
      <c r="N111" s="161"/>
      <c r="O111" s="161"/>
      <c r="P111" s="161"/>
      <c r="Q111" s="161"/>
      <c r="R111" s="77">
        <f t="shared" si="10"/>
        <v>2800</v>
      </c>
      <c r="S111" s="136">
        <v>1564.93</v>
      </c>
      <c r="T111" s="77">
        <f t="shared" si="11"/>
        <v>1235.07</v>
      </c>
      <c r="U111" s="78">
        <f t="shared" si="9"/>
        <v>2.8545492522026936E-4</v>
      </c>
      <c r="V111" s="65"/>
      <c r="W111" s="65"/>
    </row>
    <row r="112" spans="1:23" ht="17.100000000000001" customHeight="1" x14ac:dyDescent="0.2">
      <c r="A112" s="88" t="s">
        <v>198</v>
      </c>
      <c r="B112" s="72" t="s">
        <v>81</v>
      </c>
      <c r="C112" s="77">
        <v>122483.72</v>
      </c>
      <c r="D112" s="77"/>
      <c r="E112" s="77">
        <v>31960</v>
      </c>
      <c r="F112" s="77">
        <v>3600</v>
      </c>
      <c r="G112" s="77"/>
      <c r="H112" s="77"/>
      <c r="I112" s="77"/>
      <c r="J112" s="77">
        <v>7000</v>
      </c>
      <c r="K112" s="77"/>
      <c r="L112" s="161"/>
      <c r="M112" s="161"/>
      <c r="N112" s="161"/>
      <c r="O112" s="161"/>
      <c r="P112" s="161"/>
      <c r="Q112" s="161"/>
      <c r="R112" s="77">
        <f t="shared" si="10"/>
        <v>101123.72</v>
      </c>
      <c r="S112" s="136">
        <v>75906.55</v>
      </c>
      <c r="T112" s="77">
        <f t="shared" si="11"/>
        <v>25217.17</v>
      </c>
      <c r="U112" s="78">
        <f t="shared" si="9"/>
        <v>1.3845921896812406E-2</v>
      </c>
      <c r="V112" s="65"/>
      <c r="W112" s="65"/>
    </row>
    <row r="113" spans="1:23" ht="17.100000000000001" customHeight="1" x14ac:dyDescent="0.2">
      <c r="A113" s="88" t="s">
        <v>199</v>
      </c>
      <c r="B113" s="72" t="s">
        <v>200</v>
      </c>
      <c r="C113" s="77">
        <v>650</v>
      </c>
      <c r="D113" s="77"/>
      <c r="E113" s="77">
        <v>150</v>
      </c>
      <c r="F113" s="77"/>
      <c r="G113" s="77"/>
      <c r="H113" s="77"/>
      <c r="I113" s="77"/>
      <c r="J113" s="77"/>
      <c r="K113" s="77"/>
      <c r="L113" s="161"/>
      <c r="M113" s="161"/>
      <c r="N113" s="161"/>
      <c r="O113" s="161"/>
      <c r="P113" s="161"/>
      <c r="Q113" s="161"/>
      <c r="R113" s="77">
        <f t="shared" si="10"/>
        <v>500</v>
      </c>
      <c r="S113" s="136">
        <v>0</v>
      </c>
      <c r="T113" s="77">
        <f t="shared" si="11"/>
        <v>500</v>
      </c>
      <c r="U113" s="78">
        <f t="shared" si="9"/>
        <v>0</v>
      </c>
      <c r="V113" s="65"/>
      <c r="W113" s="65"/>
    </row>
    <row r="114" spans="1:23" ht="17.100000000000001" customHeight="1" x14ac:dyDescent="0.2">
      <c r="A114" s="88" t="s">
        <v>201</v>
      </c>
      <c r="B114" s="72" t="s">
        <v>202</v>
      </c>
      <c r="C114" s="77">
        <v>6900</v>
      </c>
      <c r="D114" s="77"/>
      <c r="E114" s="77">
        <v>300</v>
      </c>
      <c r="F114" s="77">
        <v>5250</v>
      </c>
      <c r="G114" s="77"/>
      <c r="H114" s="77"/>
      <c r="I114" s="77"/>
      <c r="J114" s="77"/>
      <c r="K114" s="77"/>
      <c r="L114" s="161"/>
      <c r="M114" s="161"/>
      <c r="N114" s="161"/>
      <c r="O114" s="161"/>
      <c r="P114" s="161"/>
      <c r="Q114" s="161"/>
      <c r="R114" s="77">
        <f t="shared" si="10"/>
        <v>11850</v>
      </c>
      <c r="S114" s="136">
        <v>1403.4499999999998</v>
      </c>
      <c r="T114" s="77">
        <f t="shared" si="11"/>
        <v>10446.549999999999</v>
      </c>
      <c r="U114" s="78">
        <f t="shared" si="9"/>
        <v>2.5599976663517665E-4</v>
      </c>
      <c r="V114" s="65"/>
      <c r="W114" s="65"/>
    </row>
    <row r="115" spans="1:23" ht="17.100000000000001" customHeight="1" x14ac:dyDescent="0.2">
      <c r="A115" s="88" t="s">
        <v>203</v>
      </c>
      <c r="B115" s="72" t="s">
        <v>82</v>
      </c>
      <c r="C115" s="77">
        <v>85470</v>
      </c>
      <c r="D115" s="77"/>
      <c r="E115" s="77">
        <v>5669</v>
      </c>
      <c r="F115" s="77">
        <v>15690</v>
      </c>
      <c r="G115" s="77"/>
      <c r="H115" s="77"/>
      <c r="I115" s="77"/>
      <c r="J115" s="77"/>
      <c r="K115" s="77"/>
      <c r="L115" s="161"/>
      <c r="M115" s="161"/>
      <c r="N115" s="161"/>
      <c r="O115" s="161"/>
      <c r="P115" s="161"/>
      <c r="Q115" s="161"/>
      <c r="R115" s="77">
        <f t="shared" si="10"/>
        <v>95491</v>
      </c>
      <c r="S115" s="136">
        <v>78126.710000000006</v>
      </c>
      <c r="T115" s="77">
        <f t="shared" si="11"/>
        <v>17364.289999999994</v>
      </c>
      <c r="U115" s="78">
        <f t="shared" si="9"/>
        <v>1.4250895669937744E-2</v>
      </c>
      <c r="V115" s="65"/>
      <c r="W115" s="65"/>
    </row>
    <row r="116" spans="1:23" ht="17.100000000000001" customHeight="1" x14ac:dyDescent="0.2">
      <c r="A116" s="88" t="s">
        <v>204</v>
      </c>
      <c r="B116" s="72" t="s">
        <v>83</v>
      </c>
      <c r="C116" s="77">
        <v>15600</v>
      </c>
      <c r="D116" s="77"/>
      <c r="E116" s="77">
        <v>3600</v>
      </c>
      <c r="F116" s="77"/>
      <c r="G116" s="77"/>
      <c r="H116" s="77"/>
      <c r="I116" s="77"/>
      <c r="J116" s="77"/>
      <c r="K116" s="77"/>
      <c r="L116" s="161"/>
      <c r="M116" s="161"/>
      <c r="N116" s="161"/>
      <c r="O116" s="161"/>
      <c r="P116" s="161"/>
      <c r="Q116" s="161"/>
      <c r="R116" s="77">
        <f t="shared" si="10"/>
        <v>12000</v>
      </c>
      <c r="S116" s="136">
        <v>3795.06</v>
      </c>
      <c r="T116" s="77">
        <f t="shared" si="11"/>
        <v>8204.94</v>
      </c>
      <c r="U116" s="78">
        <f t="shared" si="9"/>
        <v>6.9224730084184948E-4</v>
      </c>
      <c r="V116" s="65"/>
      <c r="W116" s="65"/>
    </row>
    <row r="117" spans="1:23" ht="17.100000000000001" customHeight="1" x14ac:dyDescent="0.2">
      <c r="A117" s="88"/>
      <c r="B117" s="72"/>
      <c r="C117" s="77"/>
      <c r="D117" s="77"/>
      <c r="E117" s="77"/>
      <c r="F117" s="77"/>
      <c r="G117" s="77"/>
      <c r="H117" s="77"/>
      <c r="I117" s="77"/>
      <c r="J117" s="77"/>
      <c r="K117" s="77"/>
      <c r="L117" s="161"/>
      <c r="M117" s="161"/>
      <c r="N117" s="161"/>
      <c r="O117" s="161"/>
      <c r="P117" s="161"/>
      <c r="Q117" s="161"/>
      <c r="R117" s="77"/>
      <c r="S117" s="136"/>
      <c r="T117" s="77"/>
      <c r="U117" s="78"/>
      <c r="V117" s="65"/>
      <c r="W117" s="65"/>
    </row>
    <row r="118" spans="1:23" ht="17.100000000000001" customHeight="1" x14ac:dyDescent="0.2">
      <c r="A118" s="88"/>
      <c r="B118" s="72"/>
      <c r="C118" s="77"/>
      <c r="D118" s="77"/>
      <c r="E118" s="77"/>
      <c r="F118" s="77"/>
      <c r="G118" s="77"/>
      <c r="H118" s="77"/>
      <c r="I118" s="77"/>
      <c r="J118" s="77"/>
      <c r="K118" s="77"/>
      <c r="L118" s="161"/>
      <c r="M118" s="161"/>
      <c r="N118" s="161"/>
      <c r="O118" s="161"/>
      <c r="P118" s="161"/>
      <c r="Q118" s="161"/>
      <c r="R118" s="77"/>
      <c r="S118" s="136"/>
      <c r="T118" s="77"/>
      <c r="U118" s="78"/>
      <c r="V118" s="65"/>
      <c r="W118" s="65"/>
    </row>
    <row r="119" spans="1:23" ht="17.100000000000001" customHeight="1" x14ac:dyDescent="0.2">
      <c r="A119" s="88"/>
      <c r="B119" s="72"/>
      <c r="C119" s="77"/>
      <c r="D119" s="77"/>
      <c r="E119" s="77"/>
      <c r="F119" s="77"/>
      <c r="G119" s="77"/>
      <c r="H119" s="77"/>
      <c r="I119" s="77"/>
      <c r="J119" s="77"/>
      <c r="K119" s="77"/>
      <c r="L119" s="161"/>
      <c r="M119" s="161"/>
      <c r="N119" s="161"/>
      <c r="O119" s="161"/>
      <c r="P119" s="161"/>
      <c r="Q119" s="161"/>
      <c r="R119" s="77"/>
      <c r="S119" s="136"/>
      <c r="T119" s="77"/>
      <c r="U119" s="78"/>
      <c r="V119" s="65"/>
      <c r="W119" s="65"/>
    </row>
    <row r="120" spans="1:23" ht="17.100000000000001" customHeight="1" x14ac:dyDescent="0.2">
      <c r="A120" s="88"/>
      <c r="B120" s="72"/>
      <c r="C120" s="77"/>
      <c r="D120" s="77"/>
      <c r="E120" s="77"/>
      <c r="F120" s="77"/>
      <c r="G120" s="77"/>
      <c r="H120" s="77"/>
      <c r="I120" s="77"/>
      <c r="J120" s="77"/>
      <c r="K120" s="77"/>
      <c r="L120" s="161"/>
      <c r="M120" s="161"/>
      <c r="N120" s="161"/>
      <c r="O120" s="161"/>
      <c r="P120" s="161"/>
      <c r="Q120" s="161"/>
      <c r="R120" s="77"/>
      <c r="S120" s="136"/>
      <c r="T120" s="77"/>
      <c r="U120" s="78"/>
      <c r="V120" s="65"/>
      <c r="W120" s="65"/>
    </row>
    <row r="121" spans="1:23" ht="17.100000000000001" customHeight="1" x14ac:dyDescent="0.25">
      <c r="A121" s="86">
        <v>3</v>
      </c>
      <c r="B121" s="87" t="s">
        <v>84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161"/>
      <c r="M121" s="161"/>
      <c r="N121" s="161"/>
      <c r="O121" s="161"/>
      <c r="P121" s="161"/>
      <c r="Q121" s="161"/>
      <c r="R121" s="77"/>
      <c r="S121" s="136"/>
      <c r="T121" s="77"/>
      <c r="U121" s="78"/>
      <c r="V121" s="65"/>
      <c r="W121" s="65"/>
    </row>
    <row r="122" spans="1:23" ht="17.100000000000001" customHeight="1" x14ac:dyDescent="0.2">
      <c r="A122" s="88" t="s">
        <v>205</v>
      </c>
      <c r="B122" s="72" t="s">
        <v>85</v>
      </c>
      <c r="C122" s="77">
        <v>162200</v>
      </c>
      <c r="D122" s="77"/>
      <c r="E122" s="77"/>
      <c r="F122" s="77"/>
      <c r="G122" s="77"/>
      <c r="H122" s="77"/>
      <c r="I122" s="77"/>
      <c r="J122" s="77"/>
      <c r="K122" s="77"/>
      <c r="L122" s="161"/>
      <c r="M122" s="161"/>
      <c r="N122" s="161"/>
      <c r="O122" s="161"/>
      <c r="P122" s="161"/>
      <c r="Q122" s="161"/>
      <c r="R122" s="77">
        <f t="shared" si="10"/>
        <v>162200</v>
      </c>
      <c r="S122" s="136">
        <v>1750</v>
      </c>
      <c r="T122" s="77">
        <f t="shared" si="11"/>
        <v>160450</v>
      </c>
      <c r="U122" s="78">
        <f t="shared" ref="U122:U127" si="12">S122/$S$140</f>
        <v>3.1921307607079636E-4</v>
      </c>
      <c r="V122" s="65"/>
      <c r="W122" s="65"/>
    </row>
    <row r="123" spans="1:23" ht="17.100000000000001" customHeight="1" x14ac:dyDescent="0.2">
      <c r="A123" s="88" t="s">
        <v>206</v>
      </c>
      <c r="B123" s="72" t="s">
        <v>207</v>
      </c>
      <c r="C123" s="77">
        <v>0</v>
      </c>
      <c r="D123" s="77"/>
      <c r="E123" s="77"/>
      <c r="F123" s="77"/>
      <c r="G123" s="77"/>
      <c r="H123" s="77"/>
      <c r="I123" s="77"/>
      <c r="J123" s="77"/>
      <c r="K123" s="77"/>
      <c r="L123" s="161"/>
      <c r="M123" s="161"/>
      <c r="N123" s="161"/>
      <c r="O123" s="161"/>
      <c r="P123" s="161"/>
      <c r="Q123" s="161"/>
      <c r="R123" s="77">
        <f t="shared" si="10"/>
        <v>0</v>
      </c>
      <c r="S123" s="136">
        <v>0</v>
      </c>
      <c r="T123" s="77">
        <f t="shared" si="11"/>
        <v>0</v>
      </c>
      <c r="U123" s="78">
        <f t="shared" si="12"/>
        <v>0</v>
      </c>
      <c r="V123" s="65"/>
      <c r="W123" s="65"/>
    </row>
    <row r="124" spans="1:23" ht="17.100000000000001" customHeight="1" x14ac:dyDescent="0.2">
      <c r="A124" s="88" t="s">
        <v>208</v>
      </c>
      <c r="B124" s="72" t="s">
        <v>209</v>
      </c>
      <c r="C124" s="77">
        <v>1856690.49</v>
      </c>
      <c r="D124" s="77"/>
      <c r="E124" s="77"/>
      <c r="F124" s="77"/>
      <c r="G124" s="77"/>
      <c r="H124" s="77"/>
      <c r="I124" s="77"/>
      <c r="J124" s="77"/>
      <c r="K124" s="77"/>
      <c r="L124" s="161"/>
      <c r="M124" s="161"/>
      <c r="N124" s="161"/>
      <c r="O124" s="161"/>
      <c r="P124" s="161"/>
      <c r="Q124" s="161"/>
      <c r="R124" s="77">
        <f t="shared" si="10"/>
        <v>1856690.49</v>
      </c>
      <c r="S124" s="136">
        <v>106297.24</v>
      </c>
      <c r="T124" s="77">
        <f t="shared" si="11"/>
        <v>1750393.25</v>
      </c>
      <c r="U124" s="78">
        <f t="shared" si="12"/>
        <v>1.9389410833277543E-2</v>
      </c>
      <c r="V124" s="65"/>
      <c r="W124" s="65"/>
    </row>
    <row r="125" spans="1:23" ht="17.100000000000001" customHeight="1" x14ac:dyDescent="0.2">
      <c r="A125" s="88" t="s">
        <v>210</v>
      </c>
      <c r="B125" s="72" t="s">
        <v>211</v>
      </c>
      <c r="C125" s="77">
        <v>200000</v>
      </c>
      <c r="D125" s="77"/>
      <c r="E125" s="77"/>
      <c r="F125" s="77"/>
      <c r="G125" s="77"/>
      <c r="H125" s="77"/>
      <c r="I125" s="77"/>
      <c r="J125" s="77"/>
      <c r="K125" s="77"/>
      <c r="L125" s="161"/>
      <c r="M125" s="161"/>
      <c r="N125" s="161"/>
      <c r="O125" s="161"/>
      <c r="P125" s="161"/>
      <c r="Q125" s="161"/>
      <c r="R125" s="77">
        <f t="shared" si="10"/>
        <v>200000</v>
      </c>
      <c r="S125" s="136">
        <v>0</v>
      </c>
      <c r="T125" s="77">
        <f t="shared" si="11"/>
        <v>200000</v>
      </c>
      <c r="U125" s="78">
        <f t="shared" si="12"/>
        <v>0</v>
      </c>
      <c r="V125" s="65"/>
      <c r="W125" s="65"/>
    </row>
    <row r="126" spans="1:23" ht="17.100000000000001" customHeight="1" x14ac:dyDescent="0.2">
      <c r="A126" s="88" t="s">
        <v>212</v>
      </c>
      <c r="B126" s="72" t="s">
        <v>213</v>
      </c>
      <c r="C126" s="77">
        <v>500</v>
      </c>
      <c r="D126" s="77"/>
      <c r="E126" s="77"/>
      <c r="F126" s="77">
        <v>1200</v>
      </c>
      <c r="G126" s="77"/>
      <c r="H126" s="77"/>
      <c r="I126" s="77"/>
      <c r="J126" s="77"/>
      <c r="K126" s="77"/>
      <c r="L126" s="161"/>
      <c r="M126" s="161"/>
      <c r="N126" s="161"/>
      <c r="O126" s="161"/>
      <c r="P126" s="161"/>
      <c r="Q126" s="161"/>
      <c r="R126" s="77">
        <f t="shared" si="10"/>
        <v>1700</v>
      </c>
      <c r="S126" s="136">
        <v>1199.92</v>
      </c>
      <c r="T126" s="77">
        <f t="shared" si="11"/>
        <v>500.07999999999993</v>
      </c>
      <c r="U126" s="78">
        <f t="shared" si="12"/>
        <v>2.1887437385078286E-4</v>
      </c>
      <c r="V126" s="65"/>
      <c r="W126" s="65"/>
    </row>
    <row r="127" spans="1:23" ht="17.100000000000001" customHeight="1" x14ac:dyDescent="0.2">
      <c r="A127" s="88" t="s">
        <v>214</v>
      </c>
      <c r="B127" s="72" t="s">
        <v>215</v>
      </c>
      <c r="C127" s="77">
        <v>17500</v>
      </c>
      <c r="D127" s="77"/>
      <c r="E127" s="77"/>
      <c r="F127" s="77"/>
      <c r="G127" s="77"/>
      <c r="H127" s="77"/>
      <c r="I127" s="77"/>
      <c r="J127" s="77"/>
      <c r="K127" s="77"/>
      <c r="L127" s="161"/>
      <c r="M127" s="161"/>
      <c r="N127" s="161"/>
      <c r="O127" s="161"/>
      <c r="P127" s="161"/>
      <c r="Q127" s="161"/>
      <c r="R127" s="77">
        <f t="shared" si="10"/>
        <v>17500</v>
      </c>
      <c r="S127" s="136">
        <v>11725</v>
      </c>
      <c r="T127" s="77">
        <f t="shared" si="11"/>
        <v>5775</v>
      </c>
      <c r="U127" s="78">
        <f t="shared" si="12"/>
        <v>2.1387276096743357E-3</v>
      </c>
      <c r="V127" s="65"/>
      <c r="W127" s="65"/>
    </row>
    <row r="128" spans="1:23" ht="17.100000000000001" customHeight="1" x14ac:dyDescent="0.2">
      <c r="A128" s="88" t="s">
        <v>216</v>
      </c>
      <c r="B128" s="72" t="s">
        <v>217</v>
      </c>
      <c r="C128" s="77">
        <v>20500</v>
      </c>
      <c r="D128" s="77"/>
      <c r="E128" s="77"/>
      <c r="F128" s="77"/>
      <c r="G128" s="77"/>
      <c r="H128" s="77"/>
      <c r="I128" s="77"/>
      <c r="J128" s="77"/>
      <c r="K128" s="77"/>
      <c r="L128" s="161"/>
      <c r="M128" s="161"/>
      <c r="N128" s="161"/>
      <c r="O128" s="161"/>
      <c r="P128" s="161"/>
      <c r="Q128" s="161"/>
      <c r="R128" s="77">
        <f t="shared" si="10"/>
        <v>20500</v>
      </c>
      <c r="S128" s="136">
        <v>0</v>
      </c>
      <c r="T128" s="77">
        <f t="shared" si="11"/>
        <v>20500</v>
      </c>
      <c r="U128" s="78"/>
      <c r="V128" s="65"/>
      <c r="W128" s="65"/>
    </row>
    <row r="129" spans="1:23" ht="17.100000000000001" customHeight="1" x14ac:dyDescent="0.2">
      <c r="A129" s="88" t="s">
        <v>218</v>
      </c>
      <c r="B129" s="72" t="s">
        <v>219</v>
      </c>
      <c r="C129" s="77">
        <v>2784974.71</v>
      </c>
      <c r="D129" s="77"/>
      <c r="E129" s="77"/>
      <c r="F129" s="77"/>
      <c r="G129" s="77"/>
      <c r="H129" s="77"/>
      <c r="I129" s="77"/>
      <c r="J129" s="77"/>
      <c r="K129" s="77"/>
      <c r="L129" s="161"/>
      <c r="M129" s="161"/>
      <c r="N129" s="161"/>
      <c r="O129" s="161"/>
      <c r="P129" s="161"/>
      <c r="Q129" s="161"/>
      <c r="R129" s="77">
        <f t="shared" si="10"/>
        <v>2784974.71</v>
      </c>
      <c r="S129" s="136">
        <v>0</v>
      </c>
      <c r="T129" s="77">
        <f t="shared" si="11"/>
        <v>2784974.71</v>
      </c>
      <c r="U129" s="78"/>
      <c r="V129" s="65"/>
      <c r="W129" s="65"/>
    </row>
    <row r="130" spans="1:23" ht="17.100000000000001" customHeight="1" x14ac:dyDescent="0.2">
      <c r="A130" s="88"/>
      <c r="B130" s="72"/>
      <c r="C130" s="77"/>
      <c r="D130" s="77"/>
      <c r="E130" s="77"/>
      <c r="F130" s="77"/>
      <c r="G130" s="77"/>
      <c r="H130" s="77"/>
      <c r="I130" s="77"/>
      <c r="J130" s="77"/>
      <c r="K130" s="77"/>
      <c r="L130" s="161"/>
      <c r="M130" s="161"/>
      <c r="N130" s="161"/>
      <c r="O130" s="161"/>
      <c r="P130" s="161"/>
      <c r="Q130" s="161"/>
      <c r="R130" s="77"/>
      <c r="S130" s="136"/>
      <c r="T130" s="77"/>
      <c r="U130" s="78"/>
      <c r="V130" s="65"/>
      <c r="W130" s="65"/>
    </row>
    <row r="131" spans="1:23" ht="17.100000000000001" customHeight="1" x14ac:dyDescent="0.2">
      <c r="A131" s="88"/>
      <c r="B131" s="72"/>
      <c r="C131" s="77"/>
      <c r="D131" s="77"/>
      <c r="E131" s="77"/>
      <c r="F131" s="77"/>
      <c r="G131" s="77"/>
      <c r="H131" s="77"/>
      <c r="I131" s="77"/>
      <c r="J131" s="77"/>
      <c r="K131" s="77"/>
      <c r="L131" s="161"/>
      <c r="M131" s="161"/>
      <c r="N131" s="161"/>
      <c r="O131" s="161"/>
      <c r="P131" s="161"/>
      <c r="Q131" s="161"/>
      <c r="R131" s="77"/>
      <c r="S131" s="136"/>
      <c r="T131" s="77"/>
      <c r="U131" s="78"/>
      <c r="V131" s="65"/>
      <c r="W131" s="65"/>
    </row>
    <row r="132" spans="1:23" ht="17.100000000000001" customHeight="1" x14ac:dyDescent="0.2">
      <c r="A132" s="88"/>
      <c r="B132" s="72"/>
      <c r="C132" s="77"/>
      <c r="D132" s="77"/>
      <c r="E132" s="77"/>
      <c r="F132" s="77"/>
      <c r="G132" s="77"/>
      <c r="H132" s="77"/>
      <c r="I132" s="77"/>
      <c r="J132" s="77"/>
      <c r="K132" s="77"/>
      <c r="L132" s="161"/>
      <c r="M132" s="161"/>
      <c r="N132" s="161"/>
      <c r="O132" s="161"/>
      <c r="P132" s="161"/>
      <c r="Q132" s="161"/>
      <c r="R132" s="77"/>
      <c r="S132" s="136"/>
      <c r="T132" s="77"/>
      <c r="U132" s="78"/>
      <c r="V132" s="65"/>
      <c r="W132" s="65"/>
    </row>
    <row r="133" spans="1:23" ht="17.100000000000001" customHeight="1" x14ac:dyDescent="0.25">
      <c r="A133" s="86">
        <v>4</v>
      </c>
      <c r="B133" s="87" t="s">
        <v>86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161"/>
      <c r="M133" s="161"/>
      <c r="N133" s="161"/>
      <c r="O133" s="161"/>
      <c r="P133" s="161"/>
      <c r="Q133" s="161"/>
      <c r="R133" s="77"/>
      <c r="S133" s="136"/>
      <c r="T133" s="77"/>
      <c r="U133" s="78"/>
      <c r="V133" s="65"/>
      <c r="W133" s="65"/>
    </row>
    <row r="134" spans="1:23" ht="17.100000000000001" customHeight="1" x14ac:dyDescent="0.2">
      <c r="A134" s="88" t="s">
        <v>220</v>
      </c>
      <c r="B134" s="72" t="s">
        <v>221</v>
      </c>
      <c r="C134" s="77">
        <v>20750</v>
      </c>
      <c r="D134" s="77"/>
      <c r="E134" s="77"/>
      <c r="F134" s="77"/>
      <c r="G134" s="77"/>
      <c r="H134" s="77"/>
      <c r="I134" s="77"/>
      <c r="J134" s="77">
        <v>20000</v>
      </c>
      <c r="K134" s="77"/>
      <c r="L134" s="161"/>
      <c r="M134" s="161"/>
      <c r="N134" s="161"/>
      <c r="O134" s="161"/>
      <c r="P134" s="161"/>
      <c r="Q134" s="161"/>
      <c r="R134" s="77">
        <f>C134+D134-E134+F134-G134+H134-I134+J134-K134+L134-M134+N134-O134+P134-Q134</f>
        <v>40750</v>
      </c>
      <c r="S134" s="136">
        <v>17235.27</v>
      </c>
      <c r="T134" s="77">
        <f t="shared" si="11"/>
        <v>23514.73</v>
      </c>
      <c r="U134" s="78">
        <f>S134/$S$140</f>
        <v>3.1438420306346944E-3</v>
      </c>
      <c r="V134" s="65"/>
      <c r="W134" s="65"/>
    </row>
    <row r="135" spans="1:23" ht="17.100000000000001" customHeight="1" x14ac:dyDescent="0.2">
      <c r="A135" s="88" t="s">
        <v>222</v>
      </c>
      <c r="B135" s="72" t="s">
        <v>223</v>
      </c>
      <c r="C135" s="77">
        <v>7600</v>
      </c>
      <c r="D135" s="77"/>
      <c r="E135" s="77"/>
      <c r="F135" s="77"/>
      <c r="G135" s="77"/>
      <c r="H135" s="77"/>
      <c r="I135" s="77"/>
      <c r="J135" s="77">
        <v>7500</v>
      </c>
      <c r="K135" s="77"/>
      <c r="L135" s="161"/>
      <c r="M135" s="161"/>
      <c r="N135" s="161"/>
      <c r="O135" s="161"/>
      <c r="P135" s="161"/>
      <c r="Q135" s="161"/>
      <c r="R135" s="77">
        <f t="shared" si="10"/>
        <v>15100</v>
      </c>
      <c r="S135" s="136">
        <v>2085.7600000000002</v>
      </c>
      <c r="T135" s="77">
        <f t="shared" si="11"/>
        <v>13014.24</v>
      </c>
      <c r="U135" s="78">
        <f>S135/$S$140</f>
        <v>3.8045820888309964E-4</v>
      </c>
      <c r="V135" s="65"/>
      <c r="W135" s="65"/>
    </row>
    <row r="136" spans="1:23" ht="17.100000000000001" customHeight="1" x14ac:dyDescent="0.2">
      <c r="A136" s="88" t="s">
        <v>224</v>
      </c>
      <c r="B136" s="72" t="s">
        <v>240</v>
      </c>
      <c r="C136" s="77">
        <v>9600</v>
      </c>
      <c r="D136" s="77"/>
      <c r="E136" s="77"/>
      <c r="F136" s="77">
        <v>46500</v>
      </c>
      <c r="G136" s="77"/>
      <c r="H136" s="77"/>
      <c r="I136" s="77"/>
      <c r="J136" s="77"/>
      <c r="K136" s="77"/>
      <c r="L136" s="161">
        <v>4000</v>
      </c>
      <c r="M136" s="161"/>
      <c r="N136" s="161"/>
      <c r="O136" s="161"/>
      <c r="P136" s="161">
        <v>6000</v>
      </c>
      <c r="Q136" s="161"/>
      <c r="R136" s="77">
        <f t="shared" si="10"/>
        <v>66100</v>
      </c>
      <c r="S136" s="136">
        <v>58250</v>
      </c>
      <c r="T136" s="77">
        <f t="shared" si="11"/>
        <v>7850</v>
      </c>
      <c r="U136" s="78">
        <f>S136/$S$140</f>
        <v>1.0625235246356508E-2</v>
      </c>
      <c r="V136" s="65"/>
      <c r="W136" s="65"/>
    </row>
    <row r="137" spans="1:23" ht="17.100000000000001" customHeight="1" x14ac:dyDescent="0.2">
      <c r="A137" s="88" t="s">
        <v>226</v>
      </c>
      <c r="B137" s="72" t="s">
        <v>227</v>
      </c>
      <c r="C137" s="77">
        <v>0</v>
      </c>
      <c r="D137" s="77">
        <v>20000</v>
      </c>
      <c r="E137" s="77"/>
      <c r="F137" s="77"/>
      <c r="G137" s="77">
        <v>20000</v>
      </c>
      <c r="H137" s="77"/>
      <c r="I137" s="77"/>
      <c r="J137" s="77"/>
      <c r="K137" s="77"/>
      <c r="L137" s="161"/>
      <c r="M137" s="161"/>
      <c r="N137" s="161"/>
      <c r="O137" s="161"/>
      <c r="P137" s="161"/>
      <c r="Q137" s="161"/>
      <c r="R137" s="77">
        <f t="shared" si="10"/>
        <v>0</v>
      </c>
      <c r="S137" s="136">
        <v>31.5</v>
      </c>
      <c r="T137" s="77">
        <v>31.5</v>
      </c>
      <c r="U137" s="78">
        <f>S137/$S$140</f>
        <v>5.7458353692743345E-6</v>
      </c>
      <c r="V137" s="65"/>
      <c r="W137" s="65"/>
    </row>
    <row r="138" spans="1:23" s="65" customFormat="1" ht="17.100000000000001" customHeight="1" x14ac:dyDescent="0.2">
      <c r="A138" s="88" t="s">
        <v>228</v>
      </c>
      <c r="B138" s="72" t="s">
        <v>87</v>
      </c>
      <c r="C138" s="89">
        <v>11050</v>
      </c>
      <c r="D138" s="89"/>
      <c r="E138" s="89"/>
      <c r="F138" s="89"/>
      <c r="G138" s="89"/>
      <c r="H138" s="89"/>
      <c r="I138" s="89"/>
      <c r="J138" s="89"/>
      <c r="K138" s="89"/>
      <c r="L138" s="165"/>
      <c r="M138" s="165"/>
      <c r="N138" s="165"/>
      <c r="O138" s="165"/>
      <c r="P138" s="165"/>
      <c r="Q138" s="165"/>
      <c r="R138" s="77">
        <f t="shared" si="10"/>
        <v>11050</v>
      </c>
      <c r="S138" s="140">
        <v>6370.87</v>
      </c>
      <c r="T138" s="89">
        <f t="shared" si="11"/>
        <v>4679.13</v>
      </c>
      <c r="U138" s="78">
        <f>S138/$S$140</f>
        <v>1.162094291398374E-3</v>
      </c>
    </row>
    <row r="139" spans="1:23" s="65" customFormat="1" ht="17.100000000000001" customHeight="1" thickBot="1" x14ac:dyDescent="0.25">
      <c r="A139" s="90"/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166"/>
      <c r="M139" s="166"/>
      <c r="N139" s="166"/>
      <c r="O139" s="166"/>
      <c r="P139" s="174"/>
      <c r="Q139" s="174"/>
      <c r="R139" s="92"/>
      <c r="S139" s="141"/>
      <c r="T139" s="92"/>
      <c r="U139" s="93"/>
    </row>
    <row r="140" spans="1:23" s="65" customFormat="1" ht="17.100000000000001" customHeight="1" thickBot="1" x14ac:dyDescent="0.3">
      <c r="A140" s="80"/>
      <c r="B140" s="80" t="s">
        <v>88</v>
      </c>
      <c r="C140" s="81">
        <f>SUM(C32:C139)</f>
        <v>10804273.189999999</v>
      </c>
      <c r="D140" s="81">
        <f t="shared" ref="D140:K140" si="13">SUM(D32:D139)</f>
        <v>191539.09</v>
      </c>
      <c r="E140" s="81">
        <f t="shared" si="13"/>
        <v>94829</v>
      </c>
      <c r="F140" s="81">
        <f t="shared" si="13"/>
        <v>361650</v>
      </c>
      <c r="G140" s="81">
        <f t="shared" si="13"/>
        <v>106963</v>
      </c>
      <c r="H140" s="81">
        <f t="shared" si="13"/>
        <v>265000</v>
      </c>
      <c r="I140" s="81">
        <f t="shared" si="13"/>
        <v>25000</v>
      </c>
      <c r="J140" s="81">
        <f t="shared" si="13"/>
        <v>178000</v>
      </c>
      <c r="K140" s="81">
        <f t="shared" si="13"/>
        <v>178000</v>
      </c>
      <c r="L140" s="162">
        <f t="shared" ref="L140:O140" si="14">SUM(L32:L138)</f>
        <v>218000</v>
      </c>
      <c r="M140" s="162">
        <f t="shared" si="14"/>
        <v>218000</v>
      </c>
      <c r="N140" s="162">
        <f t="shared" si="14"/>
        <v>70000</v>
      </c>
      <c r="O140" s="162">
        <f t="shared" si="14"/>
        <v>70000</v>
      </c>
      <c r="P140" s="81">
        <f t="shared" ref="P140:Q140" si="15">SUM(P32:P139)</f>
        <v>37500</v>
      </c>
      <c r="Q140" s="81">
        <f t="shared" si="15"/>
        <v>37500</v>
      </c>
      <c r="R140" s="81">
        <f>SUM(R32:R139)</f>
        <v>11395670.280000001</v>
      </c>
      <c r="S140" s="137">
        <f>SUM(S32:S139)</f>
        <v>5482231.5599999977</v>
      </c>
      <c r="T140" s="81">
        <f>SUM(T32:T139)</f>
        <v>5929911.3000000007</v>
      </c>
      <c r="U140" s="94">
        <v>1</v>
      </c>
    </row>
    <row r="141" spans="1:23" s="65" customFormat="1" ht="15" x14ac:dyDescent="0.2">
      <c r="C141" s="95"/>
      <c r="D141" s="96"/>
      <c r="E141" s="97"/>
      <c r="F141" s="97"/>
      <c r="G141" s="97"/>
      <c r="H141" s="97"/>
      <c r="I141" s="97"/>
      <c r="J141" s="97"/>
      <c r="K141" s="97"/>
      <c r="L141" s="167"/>
      <c r="M141" s="167"/>
      <c r="N141" s="167"/>
      <c r="O141" s="167"/>
      <c r="P141" s="167"/>
      <c r="Q141" s="167"/>
      <c r="R141" s="95"/>
      <c r="S141" s="142"/>
      <c r="T141" s="97"/>
    </row>
    <row r="142" spans="1:23" s="65" customFormat="1" ht="15.75" thickBot="1" x14ac:dyDescent="0.25">
      <c r="C142" s="97"/>
      <c r="D142" s="97"/>
      <c r="E142" s="97"/>
      <c r="F142" s="97"/>
      <c r="G142" s="97"/>
      <c r="H142" s="97"/>
      <c r="I142" s="97"/>
      <c r="J142" s="97"/>
      <c r="K142" s="97"/>
      <c r="L142" s="167"/>
      <c r="M142" s="167"/>
      <c r="N142" s="167"/>
      <c r="O142" s="167"/>
      <c r="P142" s="167"/>
      <c r="Q142" s="167"/>
      <c r="R142" s="99"/>
      <c r="S142" s="143"/>
      <c r="T142" s="97"/>
    </row>
    <row r="143" spans="1:23" s="65" customFormat="1" ht="15.75" x14ac:dyDescent="0.25">
      <c r="A143" s="100" t="s">
        <v>89</v>
      </c>
      <c r="B143" s="101"/>
      <c r="C143" s="102"/>
      <c r="D143" s="97"/>
      <c r="E143" s="97"/>
      <c r="F143" s="97"/>
      <c r="G143" s="97"/>
      <c r="H143" s="97"/>
      <c r="I143" s="97"/>
      <c r="J143" s="97"/>
      <c r="K143" s="97"/>
      <c r="L143" s="167"/>
      <c r="M143" s="167"/>
      <c r="N143" s="167"/>
      <c r="O143" s="167"/>
      <c r="P143" s="167"/>
      <c r="Q143" s="167"/>
      <c r="R143" s="97"/>
      <c r="S143" s="143"/>
      <c r="T143" s="97"/>
    </row>
    <row r="144" spans="1:23" s="65" customFormat="1" ht="15.75" x14ac:dyDescent="0.25">
      <c r="A144" s="103" t="s">
        <v>3</v>
      </c>
      <c r="B144" s="104"/>
      <c r="C144" s="105"/>
      <c r="D144" s="97"/>
      <c r="E144" s="97"/>
      <c r="F144" s="97"/>
      <c r="G144" s="97"/>
      <c r="H144" s="97"/>
      <c r="I144" s="97"/>
      <c r="J144" s="97"/>
      <c r="K144" s="97"/>
      <c r="L144" s="167"/>
      <c r="M144" s="167"/>
      <c r="N144" s="167"/>
      <c r="O144" s="167"/>
      <c r="P144" s="167"/>
      <c r="Q144" s="167"/>
      <c r="R144" s="97"/>
      <c r="S144" s="144"/>
      <c r="T144" s="97"/>
    </row>
    <row r="145" spans="1:20" s="65" customFormat="1" ht="8.1" customHeight="1" thickBot="1" x14ac:dyDescent="0.25">
      <c r="A145" s="106"/>
      <c r="B145" s="107"/>
      <c r="C145" s="108"/>
      <c r="D145" s="97"/>
      <c r="E145" s="97"/>
      <c r="F145" s="97"/>
      <c r="G145" s="97"/>
      <c r="H145" s="97"/>
      <c r="I145" s="97"/>
      <c r="J145" s="97"/>
      <c r="K145" s="97"/>
      <c r="L145" s="167"/>
      <c r="M145" s="167"/>
      <c r="N145" s="167"/>
      <c r="O145" s="167"/>
      <c r="P145" s="167"/>
      <c r="Q145" s="167"/>
      <c r="R145" s="97"/>
      <c r="S145" s="144"/>
      <c r="T145" s="97"/>
    </row>
    <row r="146" spans="1:20" s="65" customFormat="1" ht="8.1" customHeight="1" x14ac:dyDescent="0.2">
      <c r="A146" s="109"/>
      <c r="B146" s="110"/>
      <c r="C146" s="111"/>
      <c r="D146" s="97"/>
      <c r="E146" s="97"/>
      <c r="F146" s="97"/>
      <c r="G146" s="97"/>
      <c r="H146" s="97"/>
      <c r="I146" s="97"/>
      <c r="J146" s="97"/>
      <c r="K146" s="97"/>
      <c r="L146" s="167"/>
      <c r="M146" s="167"/>
      <c r="N146" s="167"/>
      <c r="O146" s="167"/>
      <c r="P146" s="167"/>
      <c r="Q146" s="167"/>
      <c r="R146" s="97"/>
      <c r="S146" s="144"/>
      <c r="T146" s="97"/>
    </row>
    <row r="147" spans="1:20" s="65" customFormat="1" ht="15.95" customHeight="1" x14ac:dyDescent="0.2">
      <c r="A147" s="112" t="s">
        <v>90</v>
      </c>
      <c r="B147" s="113"/>
      <c r="C147" s="114"/>
      <c r="D147" s="97"/>
      <c r="E147" s="97"/>
      <c r="F147" s="97"/>
      <c r="G147" s="97"/>
      <c r="H147" s="97"/>
      <c r="I147" s="97"/>
      <c r="J147" s="97"/>
      <c r="K147" s="97"/>
      <c r="L147" s="167"/>
      <c r="M147" s="167"/>
      <c r="N147" s="167"/>
      <c r="O147" s="167"/>
      <c r="P147" s="167"/>
      <c r="Q147" s="167"/>
      <c r="R147" s="97"/>
      <c r="S147" s="144"/>
      <c r="T147" s="97"/>
    </row>
    <row r="148" spans="1:20" s="65" customFormat="1" ht="15.95" customHeight="1" x14ac:dyDescent="0.2">
      <c r="A148" s="115" t="s">
        <v>229</v>
      </c>
      <c r="B148" s="113"/>
      <c r="C148" s="61">
        <f>198363.1+404138.05-4196.85</f>
        <v>598304.30000000005</v>
      </c>
      <c r="D148" s="97"/>
      <c r="E148" s="97"/>
      <c r="F148" s="97"/>
      <c r="G148" s="97"/>
      <c r="H148" s="97"/>
      <c r="I148" s="97"/>
      <c r="J148" s="97"/>
      <c r="K148" s="97"/>
      <c r="L148" s="167"/>
      <c r="M148" s="167"/>
      <c r="N148" s="167"/>
      <c r="O148" s="167"/>
      <c r="P148" s="167"/>
      <c r="Q148" s="167"/>
      <c r="R148" s="97"/>
      <c r="S148" s="144"/>
      <c r="T148" s="97"/>
    </row>
    <row r="149" spans="1:20" s="65" customFormat="1" ht="15.95" customHeight="1" x14ac:dyDescent="0.2">
      <c r="A149" s="115" t="s">
        <v>91</v>
      </c>
      <c r="B149" s="113"/>
      <c r="C149" s="61">
        <f>+S23</f>
        <v>5699695.4100000001</v>
      </c>
      <c r="D149" s="97"/>
      <c r="E149" s="97"/>
      <c r="F149" s="97"/>
      <c r="G149" s="97"/>
      <c r="H149" s="97"/>
      <c r="I149" s="97"/>
      <c r="J149" s="97"/>
      <c r="K149" s="97"/>
      <c r="L149" s="167"/>
      <c r="M149" s="167"/>
      <c r="N149" s="167"/>
      <c r="O149" s="167"/>
      <c r="P149" s="167"/>
      <c r="Q149" s="167"/>
      <c r="R149" s="97"/>
      <c r="S149" s="144"/>
      <c r="T149" s="97"/>
    </row>
    <row r="150" spans="1:20" s="65" customFormat="1" ht="15.95" customHeight="1" x14ac:dyDescent="0.2">
      <c r="A150" s="115" t="s">
        <v>92</v>
      </c>
      <c r="B150" s="113"/>
      <c r="C150" s="116">
        <f>-S140</f>
        <v>-5482231.5599999977</v>
      </c>
      <c r="D150" s="97"/>
      <c r="E150" s="97"/>
      <c r="F150" s="97"/>
      <c r="G150" s="97"/>
      <c r="H150" s="97"/>
      <c r="I150" s="97"/>
      <c r="J150" s="97"/>
      <c r="K150" s="97"/>
      <c r="L150" s="167"/>
      <c r="M150" s="167"/>
      <c r="N150" s="167"/>
      <c r="O150" s="167"/>
      <c r="P150" s="167"/>
      <c r="Q150" s="167"/>
      <c r="R150" s="97"/>
      <c r="S150" s="144"/>
      <c r="T150" s="97"/>
    </row>
    <row r="151" spans="1:20" s="65" customFormat="1" ht="15.95" customHeight="1" x14ac:dyDescent="0.25">
      <c r="A151" s="117" t="s">
        <v>93</v>
      </c>
      <c r="B151" s="118"/>
      <c r="C151" s="119">
        <f>SUM(C148:C150)</f>
        <v>815768.15000000224</v>
      </c>
      <c r="D151" s="97"/>
      <c r="E151" s="97"/>
      <c r="F151" s="97"/>
      <c r="G151" s="97"/>
      <c r="H151" s="97"/>
      <c r="I151" s="97"/>
      <c r="J151" s="97"/>
      <c r="K151" s="97"/>
      <c r="L151" s="167"/>
      <c r="M151" s="167"/>
      <c r="N151" s="167"/>
      <c r="O151" s="167"/>
      <c r="P151" s="167"/>
      <c r="Q151" s="167"/>
      <c r="R151" s="97"/>
      <c r="S151" s="144"/>
      <c r="T151" s="97"/>
    </row>
    <row r="152" spans="1:20" s="65" customFormat="1" ht="8.1" customHeight="1" x14ac:dyDescent="0.25">
      <c r="A152" s="117"/>
      <c r="B152" s="118"/>
      <c r="C152" s="119"/>
      <c r="D152" s="97"/>
      <c r="E152" s="97"/>
      <c r="F152" s="97"/>
      <c r="G152" s="97"/>
      <c r="H152" s="97"/>
      <c r="I152" s="97"/>
      <c r="J152" s="97"/>
      <c r="K152" s="97"/>
      <c r="L152" s="167"/>
      <c r="M152" s="167"/>
      <c r="N152" s="167"/>
      <c r="O152" s="167"/>
      <c r="P152" s="167"/>
      <c r="Q152" s="167"/>
      <c r="R152" s="97"/>
      <c r="S152" s="144"/>
      <c r="T152" s="97"/>
    </row>
    <row r="153" spans="1:20" s="65" customFormat="1" ht="15.95" customHeight="1" x14ac:dyDescent="0.2">
      <c r="A153" s="112" t="s">
        <v>94</v>
      </c>
      <c r="B153" s="113"/>
      <c r="C153" s="61"/>
      <c r="D153" s="97"/>
      <c r="E153" s="97"/>
      <c r="F153" s="97"/>
      <c r="G153" s="97"/>
      <c r="H153" s="97"/>
      <c r="I153" s="97"/>
      <c r="J153" s="97"/>
      <c r="K153" s="97"/>
      <c r="L153" s="167"/>
      <c r="M153" s="167"/>
      <c r="N153" s="167"/>
      <c r="O153" s="167"/>
      <c r="P153" s="167"/>
      <c r="Q153" s="167"/>
      <c r="R153" s="97"/>
      <c r="S153" s="144"/>
      <c r="T153" s="97"/>
    </row>
    <row r="154" spans="1:20" s="65" customFormat="1" ht="15.95" customHeight="1" x14ac:dyDescent="0.2">
      <c r="A154" s="115" t="s">
        <v>313</v>
      </c>
      <c r="B154" s="113"/>
      <c r="C154" s="61">
        <v>10661.35</v>
      </c>
      <c r="D154" s="97"/>
      <c r="E154" s="97"/>
      <c r="F154" s="97"/>
      <c r="G154" s="97"/>
      <c r="H154" s="97"/>
      <c r="I154" s="97"/>
      <c r="J154" s="97"/>
      <c r="K154" s="97"/>
      <c r="L154" s="167"/>
      <c r="M154" s="167"/>
      <c r="N154" s="167"/>
      <c r="O154" s="167"/>
      <c r="P154" s="167"/>
      <c r="Q154" s="167"/>
      <c r="R154" s="97"/>
      <c r="S154" s="144"/>
      <c r="T154" s="97"/>
    </row>
    <row r="155" spans="1:20" s="65" customFormat="1" ht="15.95" customHeight="1" x14ac:dyDescent="0.2">
      <c r="A155" s="115" t="s">
        <v>280</v>
      </c>
      <c r="B155" s="113"/>
      <c r="C155" s="61">
        <v>0</v>
      </c>
      <c r="D155" s="97"/>
      <c r="E155" s="97"/>
      <c r="F155" s="97"/>
      <c r="G155" s="97"/>
      <c r="H155" s="97"/>
      <c r="I155" s="97"/>
      <c r="J155" s="97"/>
      <c r="K155" s="97"/>
      <c r="L155" s="167"/>
      <c r="M155" s="167"/>
      <c r="N155" s="167"/>
      <c r="O155" s="167"/>
      <c r="P155" s="167"/>
      <c r="Q155" s="167"/>
      <c r="R155" s="97"/>
      <c r="S155" s="144"/>
      <c r="T155" s="97"/>
    </row>
    <row r="156" spans="1:20" s="65" customFormat="1" ht="15.95" customHeight="1" x14ac:dyDescent="0.2">
      <c r="A156" s="115" t="s">
        <v>97</v>
      </c>
      <c r="B156" s="113"/>
      <c r="C156" s="148">
        <f>1374.81+1016.87</f>
        <v>2391.6799999999998</v>
      </c>
      <c r="D156" s="97"/>
      <c r="E156" s="97"/>
      <c r="F156" s="97"/>
      <c r="G156" s="97"/>
      <c r="H156" s="97"/>
      <c r="I156" s="97"/>
      <c r="J156" s="97"/>
      <c r="K156" s="97"/>
      <c r="L156" s="167"/>
      <c r="M156" s="167"/>
      <c r="N156" s="167"/>
      <c r="O156" s="167"/>
      <c r="P156" s="167"/>
      <c r="Q156" s="167"/>
      <c r="R156" s="97"/>
      <c r="S156" s="144"/>
      <c r="T156" s="97"/>
    </row>
    <row r="157" spans="1:20" s="65" customFormat="1" ht="15.95" customHeight="1" x14ac:dyDescent="0.2">
      <c r="A157" s="115" t="s">
        <v>314</v>
      </c>
      <c r="B157" s="113"/>
      <c r="C157" s="148">
        <v>16650.48</v>
      </c>
      <c r="D157" s="97"/>
      <c r="E157" s="97"/>
      <c r="F157" s="97"/>
      <c r="G157" s="97"/>
      <c r="H157" s="97"/>
      <c r="I157" s="97"/>
      <c r="J157" s="97"/>
      <c r="K157" s="97"/>
      <c r="L157" s="167"/>
      <c r="M157" s="167"/>
      <c r="N157" s="167"/>
      <c r="O157" s="167"/>
      <c r="P157" s="167"/>
      <c r="Q157" s="167"/>
      <c r="R157" s="97"/>
      <c r="S157" s="144"/>
      <c r="T157" s="97"/>
    </row>
    <row r="158" spans="1:20" s="65" customFormat="1" ht="5.0999999999999996" customHeight="1" x14ac:dyDescent="0.2">
      <c r="A158" s="115"/>
      <c r="B158" s="113"/>
      <c r="C158" s="149"/>
      <c r="D158" s="97"/>
      <c r="E158" s="97"/>
      <c r="F158" s="97"/>
      <c r="G158" s="97"/>
      <c r="H158" s="97"/>
      <c r="I158" s="97"/>
      <c r="J158" s="97"/>
      <c r="K158" s="97"/>
      <c r="L158" s="167"/>
      <c r="M158" s="167"/>
      <c r="N158" s="167"/>
      <c r="O158" s="167"/>
      <c r="P158" s="167"/>
      <c r="Q158" s="167"/>
      <c r="R158" s="97"/>
      <c r="S158" s="144"/>
      <c r="T158" s="97"/>
    </row>
    <row r="159" spans="1:20" s="65" customFormat="1" ht="15.75" x14ac:dyDescent="0.25">
      <c r="A159" s="117"/>
      <c r="B159" s="118"/>
      <c r="C159" s="150">
        <f>SUM(C154:C158)</f>
        <v>29703.510000000002</v>
      </c>
      <c r="D159" s="97"/>
      <c r="E159" s="97"/>
      <c r="F159" s="97"/>
      <c r="G159" s="97"/>
      <c r="H159" s="97"/>
      <c r="I159" s="97"/>
      <c r="J159" s="97"/>
      <c r="K159" s="97"/>
      <c r="L159" s="167"/>
      <c r="M159" s="167"/>
      <c r="N159" s="167"/>
      <c r="O159" s="167"/>
      <c r="P159" s="167"/>
      <c r="Q159" s="167"/>
      <c r="R159" s="97"/>
      <c r="S159" s="144"/>
      <c r="T159" s="97"/>
    </row>
    <row r="160" spans="1:20" s="65" customFormat="1" ht="5.0999999999999996" customHeight="1" x14ac:dyDescent="0.25">
      <c r="A160" s="117"/>
      <c r="B160" s="118"/>
      <c r="C160" s="151"/>
      <c r="D160" s="97"/>
      <c r="E160" s="97"/>
      <c r="F160" s="97"/>
      <c r="G160" s="97"/>
      <c r="H160" s="97"/>
      <c r="I160" s="97"/>
      <c r="J160" s="97"/>
      <c r="K160" s="97"/>
      <c r="L160" s="167"/>
      <c r="M160" s="167"/>
      <c r="N160" s="167"/>
      <c r="O160" s="167"/>
      <c r="P160" s="167"/>
      <c r="Q160" s="167"/>
      <c r="R160" s="97"/>
      <c r="S160" s="144"/>
      <c r="T160" s="97"/>
    </row>
    <row r="161" spans="1:20" s="65" customFormat="1" ht="8.1" customHeight="1" x14ac:dyDescent="0.25">
      <c r="A161" s="117"/>
      <c r="B161" s="118"/>
      <c r="C161" s="150"/>
      <c r="D161" s="97"/>
      <c r="E161" s="97"/>
      <c r="F161" s="97"/>
      <c r="G161" s="97"/>
      <c r="H161" s="97"/>
      <c r="I161" s="97"/>
      <c r="J161" s="97"/>
      <c r="K161" s="97"/>
      <c r="L161" s="167"/>
      <c r="M161" s="167"/>
      <c r="N161" s="167"/>
      <c r="O161" s="167"/>
      <c r="P161" s="167"/>
      <c r="Q161" s="167"/>
      <c r="R161" s="97"/>
      <c r="S161" s="144"/>
      <c r="T161" s="97"/>
    </row>
    <row r="162" spans="1:20" s="65" customFormat="1" ht="16.5" thickBot="1" x14ac:dyDescent="0.3">
      <c r="A162" s="121" t="s">
        <v>315</v>
      </c>
      <c r="B162" s="122"/>
      <c r="C162" s="152">
        <f>C151+C159</f>
        <v>845471.66000000224</v>
      </c>
      <c r="D162" s="97"/>
      <c r="E162" s="97"/>
      <c r="F162" s="97"/>
      <c r="G162" s="97"/>
      <c r="H162" s="97"/>
      <c r="I162" s="97"/>
      <c r="J162" s="97"/>
      <c r="K162" s="97"/>
      <c r="L162" s="156"/>
      <c r="M162" s="156"/>
      <c r="N162" s="156"/>
      <c r="O162" s="156"/>
      <c r="P162" s="156"/>
      <c r="Q162" s="156"/>
      <c r="R162" s="97"/>
      <c r="S162" s="144"/>
      <c r="T162" s="97"/>
    </row>
    <row r="163" spans="1:20" s="65" customFormat="1" ht="15" x14ac:dyDescent="0.2">
      <c r="C163" s="143"/>
      <c r="D163" s="97"/>
      <c r="E163" s="97"/>
      <c r="F163" s="97"/>
      <c r="G163" s="97"/>
      <c r="H163" s="97"/>
      <c r="I163" s="97"/>
      <c r="J163" s="97"/>
      <c r="K163" s="97"/>
      <c r="L163" s="156"/>
      <c r="M163" s="156"/>
      <c r="N163" s="156"/>
      <c r="O163" s="156"/>
      <c r="P163" s="156"/>
      <c r="Q163" s="156"/>
      <c r="R163" s="97"/>
      <c r="S163" s="144"/>
      <c r="T163" s="97"/>
    </row>
    <row r="164" spans="1:20" s="65" customFormat="1" ht="15" x14ac:dyDescent="0.2">
      <c r="C164" s="144"/>
      <c r="L164" s="156"/>
      <c r="M164" s="156"/>
      <c r="N164" s="156"/>
      <c r="O164" s="156"/>
      <c r="P164" s="156"/>
      <c r="Q164" s="156"/>
      <c r="S164" s="133"/>
    </row>
    <row r="165" spans="1:20" s="65" customFormat="1" ht="15" x14ac:dyDescent="0.2">
      <c r="B165" s="65" t="s">
        <v>312</v>
      </c>
      <c r="C165" s="133"/>
      <c r="L165" s="156"/>
      <c r="M165" s="156"/>
      <c r="N165" s="156"/>
      <c r="O165" s="156"/>
      <c r="P165" s="156"/>
      <c r="Q165" s="156"/>
      <c r="S165" s="133"/>
    </row>
    <row r="166" spans="1:20" s="65" customFormat="1" ht="15" x14ac:dyDescent="0.2">
      <c r="C166" s="133"/>
      <c r="L166" s="156"/>
      <c r="M166" s="156"/>
      <c r="N166" s="156"/>
      <c r="O166" s="156"/>
      <c r="P166" s="156"/>
      <c r="Q166" s="156"/>
      <c r="S166" s="133"/>
    </row>
    <row r="167" spans="1:20" s="65" customFormat="1" ht="15" x14ac:dyDescent="0.2">
      <c r="L167" s="156"/>
      <c r="M167" s="156"/>
      <c r="N167" s="156"/>
      <c r="O167" s="156"/>
      <c r="P167" s="156"/>
      <c r="Q167" s="156"/>
      <c r="S167" s="133"/>
    </row>
    <row r="168" spans="1:20" s="65" customFormat="1" ht="15" x14ac:dyDescent="0.2">
      <c r="L168" s="156"/>
      <c r="M168" s="156"/>
      <c r="N168" s="156"/>
      <c r="O168" s="156"/>
      <c r="P168" s="156"/>
      <c r="Q168" s="156"/>
      <c r="S168" s="133"/>
    </row>
    <row r="169" spans="1:20" s="65" customFormat="1" ht="15" x14ac:dyDescent="0.2">
      <c r="L169" s="156"/>
      <c r="M169" s="156"/>
      <c r="N169" s="156"/>
      <c r="O169" s="156"/>
      <c r="P169" s="156"/>
      <c r="Q169" s="156"/>
      <c r="S169" s="133"/>
    </row>
    <row r="170" spans="1:20" s="65" customFormat="1" ht="15" x14ac:dyDescent="0.2">
      <c r="L170" s="156"/>
      <c r="M170" s="156"/>
      <c r="N170" s="156"/>
      <c r="O170" s="156"/>
      <c r="P170" s="156"/>
      <c r="Q170" s="156"/>
      <c r="S170" s="133"/>
    </row>
    <row r="171" spans="1:20" s="65" customFormat="1" ht="15" x14ac:dyDescent="0.2">
      <c r="L171" s="156"/>
      <c r="M171" s="168"/>
      <c r="N171" s="156"/>
      <c r="O171" s="168"/>
      <c r="P171" s="168"/>
      <c r="Q171" s="168"/>
      <c r="S171" s="133"/>
    </row>
    <row r="172" spans="1:20" s="65" customFormat="1" ht="15" x14ac:dyDescent="0.2">
      <c r="L172" s="156"/>
      <c r="M172" s="168"/>
      <c r="N172" s="156"/>
      <c r="O172" s="168"/>
      <c r="P172" s="168"/>
      <c r="Q172" s="168"/>
      <c r="S172" s="133"/>
    </row>
    <row r="173" spans="1:20" s="65" customFormat="1" ht="15" x14ac:dyDescent="0.2">
      <c r="B173" s="65" t="s">
        <v>98</v>
      </c>
      <c r="G173" s="65" t="s">
        <v>99</v>
      </c>
      <c r="K173" s="124"/>
      <c r="L173" s="169"/>
      <c r="N173" s="65" t="s">
        <v>104</v>
      </c>
      <c r="O173" s="124"/>
      <c r="P173" s="124"/>
      <c r="Q173" s="124"/>
      <c r="R173" s="169"/>
      <c r="S173" s="169"/>
    </row>
    <row r="174" spans="1:20" s="65" customFormat="1" ht="15" x14ac:dyDescent="0.2">
      <c r="B174" s="65" t="s">
        <v>100</v>
      </c>
      <c r="G174" s="65" t="s">
        <v>101</v>
      </c>
      <c r="K174" s="124"/>
      <c r="L174" s="169"/>
      <c r="N174" s="65" t="s">
        <v>105</v>
      </c>
      <c r="O174" s="124"/>
      <c r="P174" s="124"/>
      <c r="Q174" s="124"/>
      <c r="R174" s="169"/>
      <c r="S174" s="169"/>
    </row>
    <row r="182" spans="7:7" x14ac:dyDescent="0.2">
      <c r="G182" s="130"/>
    </row>
  </sheetData>
  <mergeCells count="2">
    <mergeCell ref="B6:B7"/>
    <mergeCell ref="S6:S7"/>
  </mergeCells>
  <printOptions horizontalCentered="1"/>
  <pageMargins left="0" right="0" top="0.78740157480314965" bottom="0.78740157480314965" header="0.39370078740157483" footer="0.39370078740157483"/>
  <pageSetup scale="4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showGridLines="0" topLeftCell="A119" zoomScale="85" zoomScaleNormal="85" workbookViewId="0">
      <selection activeCell="C135" sqref="C135"/>
    </sheetView>
  </sheetViews>
  <sheetFormatPr baseColWidth="10" defaultRowHeight="14.25" x14ac:dyDescent="0.2"/>
  <cols>
    <col min="1" max="1" width="11.7109375" style="1" customWidth="1"/>
    <col min="2" max="2" width="48.7109375" style="1" customWidth="1"/>
    <col min="3" max="3" width="16.28515625" style="1" customWidth="1"/>
    <col min="4" max="9" width="15.7109375" style="1" customWidth="1"/>
    <col min="10" max="10" width="16.28515625" style="1" customWidth="1"/>
    <col min="11" max="11" width="15.7109375" style="1" customWidth="1"/>
    <col min="12" max="12" width="16.28515625" style="1" customWidth="1"/>
    <col min="13" max="13" width="10.7109375" style="1" customWidth="1"/>
    <col min="14" max="14" width="7" style="1" customWidth="1"/>
    <col min="15" max="15" width="18.7109375" style="1" customWidth="1"/>
    <col min="16" max="16384" width="11.42578125" style="1"/>
  </cols>
  <sheetData>
    <row r="1" spans="1:15" ht="15.7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5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</row>
    <row r="3" spans="1:15" ht="15.75" x14ac:dyDescent="0.25">
      <c r="A3" s="3" t="s">
        <v>236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</row>
    <row r="4" spans="1:15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</row>
    <row r="5" spans="1:15" ht="15.7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6.5" thickBot="1" x14ac:dyDescent="0.3">
      <c r="A6" s="10" t="s">
        <v>102</v>
      </c>
      <c r="B6" s="179" t="s">
        <v>5</v>
      </c>
      <c r="C6" s="4" t="s">
        <v>6</v>
      </c>
      <c r="D6" s="9" t="s">
        <v>7</v>
      </c>
      <c r="E6" s="9"/>
      <c r="F6" s="9" t="s">
        <v>8</v>
      </c>
      <c r="G6" s="9"/>
      <c r="H6" s="9" t="s">
        <v>9</v>
      </c>
      <c r="I6" s="9"/>
      <c r="J6" s="10" t="s">
        <v>6</v>
      </c>
      <c r="K6" s="177" t="s">
        <v>10</v>
      </c>
      <c r="L6" s="10" t="s">
        <v>11</v>
      </c>
      <c r="M6" s="4" t="s">
        <v>12</v>
      </c>
      <c r="N6" s="2"/>
      <c r="O6" s="2"/>
    </row>
    <row r="7" spans="1:15" ht="16.5" thickBot="1" x14ac:dyDescent="0.3">
      <c r="A7" s="11" t="s">
        <v>103</v>
      </c>
      <c r="B7" s="180"/>
      <c r="C7" s="11" t="s">
        <v>13</v>
      </c>
      <c r="D7" s="11" t="s">
        <v>14</v>
      </c>
      <c r="E7" s="11" t="s">
        <v>15</v>
      </c>
      <c r="F7" s="11" t="s">
        <v>14</v>
      </c>
      <c r="G7" s="11" t="s">
        <v>15</v>
      </c>
      <c r="H7" s="11" t="s">
        <v>14</v>
      </c>
      <c r="I7" s="11" t="s">
        <v>15</v>
      </c>
      <c r="J7" s="11" t="s">
        <v>16</v>
      </c>
      <c r="K7" s="178"/>
      <c r="L7" s="11" t="s">
        <v>17</v>
      </c>
      <c r="M7" s="5" t="s">
        <v>18</v>
      </c>
      <c r="N7" s="2"/>
      <c r="O7" s="2"/>
    </row>
    <row r="8" spans="1:15" s="2" customFormat="1" ht="17.100000000000001" customHeight="1" x14ac:dyDescent="0.2">
      <c r="A8" s="7"/>
      <c r="B8" s="7"/>
      <c r="C8" s="15"/>
      <c r="D8" s="15"/>
      <c r="E8" s="15"/>
      <c r="F8" s="15"/>
      <c r="G8" s="15"/>
      <c r="H8" s="15"/>
      <c r="I8" s="15"/>
      <c r="J8" s="15"/>
      <c r="K8" s="15"/>
      <c r="L8" s="15"/>
      <c r="M8" s="7"/>
    </row>
    <row r="9" spans="1:15" s="2" customFormat="1" ht="17.100000000000001" customHeight="1" x14ac:dyDescent="0.25">
      <c r="A9" s="6"/>
      <c r="B9" s="25" t="s">
        <v>19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6"/>
    </row>
    <row r="10" spans="1:15" s="2" customFormat="1" ht="17.100000000000001" customHeight="1" x14ac:dyDescent="0.25">
      <c r="A10" s="7"/>
      <c r="B10" s="16" t="s">
        <v>20</v>
      </c>
      <c r="C10" s="18">
        <f>198363.1+404138.05</f>
        <v>602501.15</v>
      </c>
      <c r="D10" s="18"/>
      <c r="E10" s="18"/>
      <c r="F10" s="18"/>
      <c r="G10" s="18"/>
      <c r="H10" s="18"/>
      <c r="I10" s="18"/>
      <c r="J10" s="18">
        <f>C10+D10-E10+F10-G10+H10-I10</f>
        <v>602501.15</v>
      </c>
      <c r="K10" s="18">
        <v>0</v>
      </c>
      <c r="L10" s="18">
        <f>J10-K10</f>
        <v>602501.15</v>
      </c>
      <c r="M10" s="21">
        <f>K10/$K$20</f>
        <v>0</v>
      </c>
    </row>
    <row r="11" spans="1:15" s="2" customFormat="1" ht="17.100000000000001" customHeight="1" x14ac:dyDescent="0.2">
      <c r="A11" s="7" t="s">
        <v>241</v>
      </c>
      <c r="B11" s="7" t="s">
        <v>244</v>
      </c>
      <c r="C11" s="18">
        <v>15000</v>
      </c>
      <c r="D11" s="18"/>
      <c r="E11" s="18"/>
      <c r="F11" s="18"/>
      <c r="G11" s="18"/>
      <c r="H11" s="18"/>
      <c r="I11" s="18"/>
      <c r="J11" s="18">
        <f>C11+D11-E11+F11-G11+H11-I11</f>
        <v>15000</v>
      </c>
      <c r="K11" s="18">
        <f>18632+5000</f>
        <v>23632</v>
      </c>
      <c r="L11" s="18">
        <f>J11-K11</f>
        <v>-8632</v>
      </c>
      <c r="M11" s="21">
        <f>K11/$K$20</f>
        <v>2.8585029200589515E-2</v>
      </c>
    </row>
    <row r="12" spans="1:15" s="2" customFormat="1" ht="17.100000000000001" customHeight="1" x14ac:dyDescent="0.2">
      <c r="A12" s="7" t="s">
        <v>242</v>
      </c>
      <c r="B12" s="7" t="s">
        <v>245</v>
      </c>
      <c r="C12" s="18">
        <v>65000</v>
      </c>
      <c r="D12" s="18"/>
      <c r="E12" s="18"/>
      <c r="F12" s="18"/>
      <c r="G12" s="18"/>
      <c r="H12" s="18"/>
      <c r="I12" s="18"/>
      <c r="J12" s="18">
        <f t="shared" ref="J12:J13" si="0">C12+D12-E12+F12-G12+H12-I12</f>
        <v>65000</v>
      </c>
      <c r="K12" s="18">
        <f>534+323</f>
        <v>857</v>
      </c>
      <c r="L12" s="18">
        <f t="shared" ref="L12:L13" si="1">J12-K12</f>
        <v>64143</v>
      </c>
      <c r="M12" s="21">
        <f t="shared" ref="M12:M13" si="2">K12/$K$20</f>
        <v>1.0366185690972079E-3</v>
      </c>
    </row>
    <row r="13" spans="1:15" s="2" customFormat="1" ht="17.100000000000001" customHeight="1" x14ac:dyDescent="0.2">
      <c r="A13" s="8" t="s">
        <v>243</v>
      </c>
      <c r="B13" s="7" t="s">
        <v>246</v>
      </c>
      <c r="C13" s="18">
        <v>3500</v>
      </c>
      <c r="D13" s="18"/>
      <c r="E13" s="18"/>
      <c r="F13" s="18"/>
      <c r="G13" s="18"/>
      <c r="H13" s="18"/>
      <c r="I13" s="18"/>
      <c r="J13" s="18">
        <f t="shared" si="0"/>
        <v>3500</v>
      </c>
      <c r="K13" s="18">
        <v>0</v>
      </c>
      <c r="L13" s="18">
        <f t="shared" si="1"/>
        <v>3500</v>
      </c>
      <c r="M13" s="21">
        <f t="shared" si="2"/>
        <v>0</v>
      </c>
    </row>
    <row r="14" spans="1:15" s="2" customFormat="1" ht="17.100000000000001" customHeight="1" x14ac:dyDescent="0.2">
      <c r="A14" s="8">
        <v>15.1</v>
      </c>
      <c r="B14" s="7" t="s">
        <v>247</v>
      </c>
      <c r="C14" s="18">
        <v>3000</v>
      </c>
      <c r="D14" s="18"/>
      <c r="E14" s="18"/>
      <c r="F14" s="18"/>
      <c r="G14" s="18"/>
      <c r="H14" s="18"/>
      <c r="I14" s="18"/>
      <c r="J14" s="18">
        <f t="shared" ref="J14:J19" si="3">C14+D14-E14+F14-G14+H14-I14</f>
        <v>3000</v>
      </c>
      <c r="K14" s="18">
        <f>124.33+112.98</f>
        <v>237.31</v>
      </c>
      <c r="L14" s="18">
        <f t="shared" ref="L14" si="4">J14-K14</f>
        <v>2762.69</v>
      </c>
      <c r="M14" s="21">
        <f t="shared" ref="M14:M19" si="5">K14/$K$20</f>
        <v>2.8704778603554071E-4</v>
      </c>
    </row>
    <row r="15" spans="1:15" s="2" customFormat="1" ht="17.100000000000001" customHeight="1" x14ac:dyDescent="0.2">
      <c r="A15" s="7" t="s">
        <v>24</v>
      </c>
      <c r="B15" s="7" t="s">
        <v>25</v>
      </c>
      <c r="C15" s="18">
        <v>2745062.93</v>
      </c>
      <c r="D15" s="18"/>
      <c r="E15" s="18"/>
      <c r="F15" s="18"/>
      <c r="G15" s="18"/>
      <c r="H15" s="18"/>
      <c r="I15" s="18"/>
      <c r="J15" s="18">
        <f t="shared" si="3"/>
        <v>2745062.93</v>
      </c>
      <c r="K15" s="18">
        <f>217424.77+238817.38</f>
        <v>456242.15</v>
      </c>
      <c r="L15" s="18">
        <f>J15-K15</f>
        <v>2288820.7800000003</v>
      </c>
      <c r="M15" s="21">
        <f t="shared" si="5"/>
        <v>0.55186590979560524</v>
      </c>
    </row>
    <row r="16" spans="1:15" s="2" customFormat="1" ht="17.100000000000001" customHeight="1" x14ac:dyDescent="0.2">
      <c r="A16" s="7" t="s">
        <v>26</v>
      </c>
      <c r="B16" s="7" t="s">
        <v>27</v>
      </c>
      <c r="C16" s="18">
        <v>4934974.71</v>
      </c>
      <c r="D16" s="18"/>
      <c r="E16" s="18"/>
      <c r="F16" s="18"/>
      <c r="G16" s="18"/>
      <c r="H16" s="18"/>
      <c r="I16" s="18"/>
      <c r="J16" s="18">
        <f t="shared" si="3"/>
        <v>4934974.71</v>
      </c>
      <c r="K16" s="18">
        <v>0</v>
      </c>
      <c r="L16" s="18">
        <f t="shared" ref="L16:L19" si="6">J16-K16</f>
        <v>4934974.71</v>
      </c>
      <c r="M16" s="21">
        <f t="shared" si="5"/>
        <v>0</v>
      </c>
    </row>
    <row r="17" spans="1:13" s="2" customFormat="1" ht="17.100000000000001" customHeight="1" x14ac:dyDescent="0.2">
      <c r="A17" s="7" t="s">
        <v>28</v>
      </c>
      <c r="B17" s="7" t="s">
        <v>29</v>
      </c>
      <c r="C17" s="18">
        <v>1290000</v>
      </c>
      <c r="D17" s="18"/>
      <c r="E17" s="18"/>
      <c r="F17" s="18"/>
      <c r="G17" s="18"/>
      <c r="H17" s="18"/>
      <c r="I17" s="18"/>
      <c r="J17" s="18">
        <f t="shared" si="3"/>
        <v>1290000</v>
      </c>
      <c r="K17" s="18">
        <f>345758</f>
        <v>345758</v>
      </c>
      <c r="L17" s="18">
        <f t="shared" si="6"/>
        <v>944242</v>
      </c>
      <c r="M17" s="21">
        <f t="shared" si="5"/>
        <v>0.41822539464867259</v>
      </c>
    </row>
    <row r="18" spans="1:13" s="2" customFormat="1" ht="17.100000000000001" customHeight="1" x14ac:dyDescent="0.2">
      <c r="A18" s="7" t="s">
        <v>30</v>
      </c>
      <c r="B18" s="7" t="s">
        <v>31</v>
      </c>
      <c r="C18" s="18">
        <v>20000</v>
      </c>
      <c r="D18" s="18"/>
      <c r="E18" s="18"/>
      <c r="F18" s="18"/>
      <c r="G18" s="18"/>
      <c r="H18" s="18"/>
      <c r="I18" s="18"/>
      <c r="J18" s="18">
        <f t="shared" si="3"/>
        <v>20000</v>
      </c>
      <c r="K18" s="18">
        <v>0</v>
      </c>
      <c r="L18" s="18">
        <f t="shared" si="6"/>
        <v>20000</v>
      </c>
      <c r="M18" s="21">
        <f t="shared" si="5"/>
        <v>0</v>
      </c>
    </row>
    <row r="19" spans="1:13" s="2" customFormat="1" ht="17.100000000000001" customHeight="1" thickBot="1" x14ac:dyDescent="0.25">
      <c r="A19" s="7"/>
      <c r="B19" s="7" t="s">
        <v>32</v>
      </c>
      <c r="C19" s="18">
        <f>850000+14137.2+261097.2</f>
        <v>1125234.3999999999</v>
      </c>
      <c r="D19" s="18"/>
      <c r="E19" s="18"/>
      <c r="F19" s="18"/>
      <c r="G19" s="18"/>
      <c r="H19" s="18"/>
      <c r="I19" s="18"/>
      <c r="J19" s="18">
        <f t="shared" si="3"/>
        <v>1125234.3999999999</v>
      </c>
      <c r="K19" s="18">
        <v>0</v>
      </c>
      <c r="L19" s="18">
        <f t="shared" si="6"/>
        <v>1125234.3999999999</v>
      </c>
      <c r="M19" s="21">
        <f t="shared" si="5"/>
        <v>0</v>
      </c>
    </row>
    <row r="20" spans="1:13" s="2" customFormat="1" ht="17.100000000000001" customHeight="1" thickBot="1" x14ac:dyDescent="0.3">
      <c r="A20" s="13"/>
      <c r="B20" s="13" t="s">
        <v>33</v>
      </c>
      <c r="C20" s="19">
        <f>SUM(C10:C19)</f>
        <v>10804273.189999999</v>
      </c>
      <c r="D20" s="19">
        <f t="shared" ref="D20:L20" si="7">SUM(D11:D18)</f>
        <v>0</v>
      </c>
      <c r="E20" s="19">
        <f t="shared" si="7"/>
        <v>0</v>
      </c>
      <c r="F20" s="19">
        <f t="shared" si="7"/>
        <v>0</v>
      </c>
      <c r="G20" s="19">
        <f t="shared" si="7"/>
        <v>0</v>
      </c>
      <c r="H20" s="19">
        <f t="shared" si="7"/>
        <v>0</v>
      </c>
      <c r="I20" s="19">
        <f t="shared" si="7"/>
        <v>0</v>
      </c>
      <c r="J20" s="19">
        <f t="shared" si="7"/>
        <v>9076537.6400000006</v>
      </c>
      <c r="K20" s="19">
        <f t="shared" si="7"/>
        <v>826726.46</v>
      </c>
      <c r="L20" s="19">
        <f t="shared" si="7"/>
        <v>8249811.1799999997</v>
      </c>
      <c r="M20" s="23">
        <v>0</v>
      </c>
    </row>
    <row r="21" spans="1:13" s="2" customFormat="1" ht="17.100000000000001" customHeight="1" x14ac:dyDescent="0.2">
      <c r="A21" s="6"/>
      <c r="B21" s="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4"/>
    </row>
    <row r="22" spans="1:13" s="2" customFormat="1" ht="17.100000000000001" customHeight="1" x14ac:dyDescent="0.25">
      <c r="A22" s="16" t="s">
        <v>4</v>
      </c>
      <c r="B22" s="29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1"/>
    </row>
    <row r="23" spans="1:13" s="2" customFormat="1" ht="17.100000000000001" customHeight="1" x14ac:dyDescent="0.25">
      <c r="A23" s="16"/>
      <c r="B23" s="2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/>
    </row>
    <row r="24" spans="1:13" s="2" customFormat="1" ht="17.100000000000001" customHeight="1" x14ac:dyDescent="0.25">
      <c r="A24" s="27">
        <v>0</v>
      </c>
      <c r="B24" s="17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1"/>
    </row>
    <row r="25" spans="1:13" s="2" customFormat="1" ht="17.100000000000001" customHeight="1" x14ac:dyDescent="0.2">
      <c r="A25" s="26" t="s">
        <v>36</v>
      </c>
      <c r="B25" s="7" t="s">
        <v>106</v>
      </c>
      <c r="C25" s="18">
        <v>773194.52</v>
      </c>
      <c r="D25" s="18"/>
      <c r="E25" s="18"/>
      <c r="F25" s="18"/>
      <c r="G25" s="18"/>
      <c r="H25" s="18"/>
      <c r="I25" s="18"/>
      <c r="J25" s="18">
        <f t="shared" ref="J25:J36" si="8">C25+D25-E25+F25-G25+H25-I25</f>
        <v>773194.52</v>
      </c>
      <c r="K25" s="18">
        <v>118952.42</v>
      </c>
      <c r="L25" s="18">
        <f t="shared" ref="L25:L88" si="9">J25-K25</f>
        <v>654242.1</v>
      </c>
      <c r="M25" s="21">
        <f t="shared" ref="M25:M36" si="10">K25/$K$120</f>
        <v>0.46981660541796733</v>
      </c>
    </row>
    <row r="26" spans="1:13" s="2" customFormat="1" ht="17.100000000000001" customHeight="1" x14ac:dyDescent="0.2">
      <c r="A26" s="26" t="s">
        <v>37</v>
      </c>
      <c r="B26" s="7" t="s">
        <v>107</v>
      </c>
      <c r="C26" s="18">
        <v>4500</v>
      </c>
      <c r="D26" s="18"/>
      <c r="E26" s="18"/>
      <c r="F26" s="18"/>
      <c r="G26" s="18"/>
      <c r="H26" s="18"/>
      <c r="I26" s="18"/>
      <c r="J26" s="18">
        <f t="shared" si="8"/>
        <v>4500</v>
      </c>
      <c r="K26" s="18">
        <v>750</v>
      </c>
      <c r="L26" s="18">
        <f t="shared" si="9"/>
        <v>3750</v>
      </c>
      <c r="M26" s="21">
        <f t="shared" si="10"/>
        <v>2.9622134132578008E-3</v>
      </c>
    </row>
    <row r="27" spans="1:13" s="2" customFormat="1" ht="17.100000000000001" customHeight="1" x14ac:dyDescent="0.2">
      <c r="A27" s="26" t="s">
        <v>38</v>
      </c>
      <c r="B27" s="7" t="s">
        <v>108</v>
      </c>
      <c r="C27" s="18">
        <v>140850</v>
      </c>
      <c r="D27" s="18"/>
      <c r="E27" s="18"/>
      <c r="F27" s="18"/>
      <c r="G27" s="18"/>
      <c r="H27" s="18"/>
      <c r="I27" s="18"/>
      <c r="J27" s="18">
        <f t="shared" si="8"/>
        <v>140850</v>
      </c>
      <c r="K27" s="18">
        <v>17000</v>
      </c>
      <c r="L27" s="18">
        <f t="shared" si="9"/>
        <v>123850</v>
      </c>
      <c r="M27" s="21">
        <f t="shared" si="10"/>
        <v>6.714350403384349E-2</v>
      </c>
    </row>
    <row r="28" spans="1:13" s="2" customFormat="1" ht="17.100000000000001" hidden="1" customHeight="1" x14ac:dyDescent="0.2">
      <c r="A28" s="26" t="s">
        <v>39</v>
      </c>
      <c r="B28" s="7" t="s">
        <v>109</v>
      </c>
      <c r="C28" s="18">
        <v>0</v>
      </c>
      <c r="D28" s="18"/>
      <c r="E28" s="18"/>
      <c r="F28" s="18"/>
      <c r="G28" s="18"/>
      <c r="H28" s="18"/>
      <c r="I28" s="18"/>
      <c r="J28" s="18">
        <f t="shared" si="8"/>
        <v>0</v>
      </c>
      <c r="K28" s="18"/>
      <c r="L28" s="18">
        <f t="shared" si="9"/>
        <v>0</v>
      </c>
      <c r="M28" s="21">
        <f t="shared" si="10"/>
        <v>0</v>
      </c>
    </row>
    <row r="29" spans="1:13" s="2" customFormat="1" ht="17.100000000000001" hidden="1" customHeight="1" x14ac:dyDescent="0.2">
      <c r="A29" s="26" t="s">
        <v>40</v>
      </c>
      <c r="B29" s="7" t="s">
        <v>109</v>
      </c>
      <c r="C29" s="18">
        <v>0</v>
      </c>
      <c r="D29" s="18"/>
      <c r="E29" s="18"/>
      <c r="F29" s="18"/>
      <c r="G29" s="18"/>
      <c r="H29" s="18"/>
      <c r="I29" s="18"/>
      <c r="J29" s="18">
        <f t="shared" si="8"/>
        <v>0</v>
      </c>
      <c r="K29" s="18">
        <v>0</v>
      </c>
      <c r="L29" s="18">
        <f t="shared" si="9"/>
        <v>0</v>
      </c>
      <c r="M29" s="21">
        <f t="shared" si="10"/>
        <v>0</v>
      </c>
    </row>
    <row r="30" spans="1:13" s="2" customFormat="1" ht="17.100000000000001" customHeight="1" x14ac:dyDescent="0.2">
      <c r="A30" s="26" t="s">
        <v>41</v>
      </c>
      <c r="B30" s="7" t="s">
        <v>110</v>
      </c>
      <c r="C30" s="18">
        <v>15400</v>
      </c>
      <c r="D30" s="18"/>
      <c r="E30" s="18"/>
      <c r="F30" s="18"/>
      <c r="G30" s="18"/>
      <c r="H30" s="18"/>
      <c r="I30" s="18"/>
      <c r="J30" s="18">
        <f t="shared" si="8"/>
        <v>15400</v>
      </c>
      <c r="K30" s="18">
        <v>0</v>
      </c>
      <c r="L30" s="18">
        <f t="shared" si="9"/>
        <v>15400</v>
      </c>
      <c r="M30" s="21">
        <f t="shared" si="10"/>
        <v>0</v>
      </c>
    </row>
    <row r="31" spans="1:13" s="2" customFormat="1" ht="17.100000000000001" customHeight="1" x14ac:dyDescent="0.2">
      <c r="A31" s="26" t="s">
        <v>42</v>
      </c>
      <c r="B31" s="7" t="s">
        <v>111</v>
      </c>
      <c r="C31" s="18">
        <v>42629.35</v>
      </c>
      <c r="D31" s="18"/>
      <c r="E31" s="18"/>
      <c r="F31" s="18"/>
      <c r="G31" s="18"/>
      <c r="H31" s="18"/>
      <c r="I31" s="18"/>
      <c r="J31" s="18">
        <f t="shared" si="8"/>
        <v>42629.35</v>
      </c>
      <c r="K31" s="18">
        <v>4345.7800000000007</v>
      </c>
      <c r="L31" s="18">
        <f t="shared" si="9"/>
        <v>38283.57</v>
      </c>
      <c r="M31" s="21">
        <f t="shared" si="10"/>
        <v>1.7164170409423318E-2</v>
      </c>
    </row>
    <row r="32" spans="1:13" s="2" customFormat="1" ht="17.100000000000001" customHeight="1" x14ac:dyDescent="0.2">
      <c r="A32" s="26" t="s">
        <v>43</v>
      </c>
      <c r="B32" s="7" t="s">
        <v>234</v>
      </c>
      <c r="C32" s="18">
        <v>89741</v>
      </c>
      <c r="D32" s="18"/>
      <c r="E32" s="18"/>
      <c r="F32" s="18"/>
      <c r="G32" s="18"/>
      <c r="H32" s="18"/>
      <c r="I32" s="18"/>
      <c r="J32" s="18">
        <f t="shared" si="8"/>
        <v>89741</v>
      </c>
      <c r="K32" s="18">
        <v>6412.76</v>
      </c>
      <c r="L32" s="18">
        <f t="shared" si="9"/>
        <v>83328.240000000005</v>
      </c>
      <c r="M32" s="21">
        <f t="shared" si="10"/>
        <v>2.5327951584004128E-2</v>
      </c>
    </row>
    <row r="33" spans="1:15" ht="17.100000000000001" customHeight="1" x14ac:dyDescent="0.2">
      <c r="A33" s="26" t="s">
        <v>44</v>
      </c>
      <c r="B33" s="7" t="s">
        <v>235</v>
      </c>
      <c r="C33" s="18">
        <v>7478.416666666667</v>
      </c>
      <c r="D33" s="18"/>
      <c r="E33" s="18"/>
      <c r="F33" s="18"/>
      <c r="G33" s="18"/>
      <c r="H33" s="18"/>
      <c r="I33" s="18"/>
      <c r="J33" s="18">
        <f t="shared" si="8"/>
        <v>7478.416666666667</v>
      </c>
      <c r="K33" s="18">
        <v>601.01</v>
      </c>
      <c r="L33" s="18">
        <f t="shared" si="9"/>
        <v>6877.4066666666668</v>
      </c>
      <c r="M33" s="21">
        <f t="shared" si="10"/>
        <v>2.3737598446694277E-3</v>
      </c>
      <c r="N33" s="2"/>
      <c r="O33" s="2"/>
    </row>
    <row r="34" spans="1:15" ht="17.100000000000001" customHeight="1" x14ac:dyDescent="0.2">
      <c r="A34" s="26" t="s">
        <v>45</v>
      </c>
      <c r="B34" s="7" t="s">
        <v>46</v>
      </c>
      <c r="C34" s="18">
        <v>64432.876666666663</v>
      </c>
      <c r="D34" s="18"/>
      <c r="E34" s="18"/>
      <c r="F34" s="18"/>
      <c r="G34" s="18"/>
      <c r="H34" s="18"/>
      <c r="I34" s="18"/>
      <c r="J34" s="18">
        <f t="shared" si="8"/>
        <v>64432.876666666663</v>
      </c>
      <c r="K34" s="18">
        <v>0</v>
      </c>
      <c r="L34" s="18">
        <f t="shared" si="9"/>
        <v>64432.876666666663</v>
      </c>
      <c r="M34" s="21">
        <f t="shared" si="10"/>
        <v>0</v>
      </c>
      <c r="N34" s="2"/>
      <c r="O34" s="2"/>
    </row>
    <row r="35" spans="1:15" ht="17.100000000000001" customHeight="1" x14ac:dyDescent="0.2">
      <c r="A35" s="26" t="s">
        <v>47</v>
      </c>
      <c r="B35" s="7" t="s">
        <v>114</v>
      </c>
      <c r="C35" s="18">
        <v>64432.876666666663</v>
      </c>
      <c r="D35" s="18"/>
      <c r="E35" s="18"/>
      <c r="F35" s="18"/>
      <c r="G35" s="18"/>
      <c r="H35" s="18"/>
      <c r="I35" s="18"/>
      <c r="J35" s="18">
        <f t="shared" si="8"/>
        <v>64432.876666666663</v>
      </c>
      <c r="K35" s="18">
        <v>0</v>
      </c>
      <c r="L35" s="18">
        <f t="shared" si="9"/>
        <v>64432.876666666663</v>
      </c>
      <c r="M35" s="21">
        <f t="shared" si="10"/>
        <v>0</v>
      </c>
      <c r="N35" s="2"/>
      <c r="O35" s="2"/>
    </row>
    <row r="36" spans="1:15" ht="17.100000000000001" customHeight="1" x14ac:dyDescent="0.2">
      <c r="A36" s="26" t="s">
        <v>48</v>
      </c>
      <c r="B36" s="7" t="s">
        <v>49</v>
      </c>
      <c r="C36" s="18">
        <v>4000</v>
      </c>
      <c r="D36" s="18"/>
      <c r="E36" s="18"/>
      <c r="F36" s="18"/>
      <c r="G36" s="18"/>
      <c r="H36" s="18"/>
      <c r="I36" s="18"/>
      <c r="J36" s="18">
        <f t="shared" si="8"/>
        <v>4000</v>
      </c>
      <c r="K36" s="18">
        <v>0</v>
      </c>
      <c r="L36" s="18">
        <f t="shared" si="9"/>
        <v>4000</v>
      </c>
      <c r="M36" s="21">
        <f t="shared" si="10"/>
        <v>0</v>
      </c>
      <c r="N36" s="2"/>
      <c r="O36" s="2"/>
    </row>
    <row r="37" spans="1:15" ht="17.100000000000001" customHeight="1" x14ac:dyDescent="0.2">
      <c r="A37" s="26"/>
      <c r="B37" s="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1"/>
      <c r="N37" s="2"/>
      <c r="O37" s="2"/>
    </row>
    <row r="38" spans="1:15" ht="17.100000000000001" customHeight="1" x14ac:dyDescent="0.25">
      <c r="A38" s="27">
        <v>1</v>
      </c>
      <c r="B38" s="17" t="s">
        <v>50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1"/>
      <c r="N38" s="2"/>
      <c r="O38" s="2"/>
    </row>
    <row r="39" spans="1:15" ht="17.100000000000001" customHeight="1" x14ac:dyDescent="0.2">
      <c r="A39" s="26" t="s">
        <v>115</v>
      </c>
      <c r="B39" s="7" t="s">
        <v>51</v>
      </c>
      <c r="C39" s="18">
        <v>11723.320000000002</v>
      </c>
      <c r="D39" s="18"/>
      <c r="E39" s="18"/>
      <c r="F39" s="18"/>
      <c r="G39" s="18"/>
      <c r="H39" s="18"/>
      <c r="I39" s="18"/>
      <c r="J39" s="18">
        <f t="shared" ref="J39:J101" si="11">C39+D39-E39+F39-G39+H39-I39</f>
        <v>11723.320000000002</v>
      </c>
      <c r="K39" s="18">
        <v>794.91</v>
      </c>
      <c r="L39" s="18">
        <f t="shared" si="9"/>
        <v>10928.410000000002</v>
      </c>
      <c r="M39" s="21">
        <f t="shared" ref="M39:M72" si="12">K39/$K$120</f>
        <v>3.1395907524436779E-3</v>
      </c>
      <c r="N39" s="2"/>
      <c r="O39" s="2"/>
    </row>
    <row r="40" spans="1:15" ht="17.100000000000001" customHeight="1" x14ac:dyDescent="0.2">
      <c r="A40" s="26" t="s">
        <v>116</v>
      </c>
      <c r="B40" s="7" t="s">
        <v>52</v>
      </c>
      <c r="C40" s="18">
        <v>24780</v>
      </c>
      <c r="D40" s="18"/>
      <c r="E40" s="18"/>
      <c r="F40" s="18"/>
      <c r="G40" s="18"/>
      <c r="H40" s="18"/>
      <c r="I40" s="18"/>
      <c r="J40" s="18">
        <f t="shared" si="11"/>
        <v>24780</v>
      </c>
      <c r="K40" s="18">
        <v>5521</v>
      </c>
      <c r="L40" s="18">
        <f t="shared" si="9"/>
        <v>19259</v>
      </c>
      <c r="M40" s="21">
        <f t="shared" si="12"/>
        <v>2.1805840339461757E-2</v>
      </c>
      <c r="N40" s="2"/>
      <c r="O40" s="2"/>
    </row>
    <row r="41" spans="1:15" ht="17.100000000000001" customHeight="1" x14ac:dyDescent="0.2">
      <c r="A41" s="26" t="s">
        <v>117</v>
      </c>
      <c r="B41" s="7" t="s">
        <v>53</v>
      </c>
      <c r="C41" s="18">
        <v>2500</v>
      </c>
      <c r="D41" s="18"/>
      <c r="E41" s="18"/>
      <c r="F41" s="18"/>
      <c r="G41" s="18"/>
      <c r="H41" s="18"/>
      <c r="I41" s="18"/>
      <c r="J41" s="18">
        <f t="shared" si="11"/>
        <v>2500</v>
      </c>
      <c r="K41" s="18">
        <v>0</v>
      </c>
      <c r="L41" s="18">
        <f t="shared" si="9"/>
        <v>2500</v>
      </c>
      <c r="M41" s="21">
        <f t="shared" si="12"/>
        <v>0</v>
      </c>
      <c r="N41" s="2"/>
      <c r="O41" s="2"/>
    </row>
    <row r="42" spans="1:15" ht="17.100000000000001" customHeight="1" x14ac:dyDescent="0.2">
      <c r="A42" s="26" t="s">
        <v>118</v>
      </c>
      <c r="B42" s="7" t="s">
        <v>54</v>
      </c>
      <c r="C42" s="18">
        <v>4464</v>
      </c>
      <c r="D42" s="18"/>
      <c r="E42" s="18"/>
      <c r="F42" s="18"/>
      <c r="G42" s="18"/>
      <c r="H42" s="18"/>
      <c r="I42" s="18"/>
      <c r="J42" s="18">
        <f t="shared" si="11"/>
        <v>4464</v>
      </c>
      <c r="K42" s="18">
        <v>2479.04</v>
      </c>
      <c r="L42" s="18">
        <f t="shared" si="9"/>
        <v>1984.96</v>
      </c>
      <c r="M42" s="21">
        <f t="shared" si="12"/>
        <v>9.7912607200034921E-3</v>
      </c>
      <c r="N42" s="2"/>
      <c r="O42" s="2"/>
    </row>
    <row r="43" spans="1:15" ht="17.100000000000001" customHeight="1" x14ac:dyDescent="0.2">
      <c r="A43" s="26" t="s">
        <v>119</v>
      </c>
      <c r="B43" s="7" t="s">
        <v>120</v>
      </c>
      <c r="C43" s="18">
        <v>12200</v>
      </c>
      <c r="D43" s="18"/>
      <c r="E43" s="18"/>
      <c r="F43" s="18"/>
      <c r="G43" s="18"/>
      <c r="H43" s="18"/>
      <c r="I43" s="18"/>
      <c r="J43" s="18">
        <f t="shared" si="11"/>
        <v>12200</v>
      </c>
      <c r="K43" s="18">
        <v>3654</v>
      </c>
      <c r="L43" s="18">
        <f t="shared" si="9"/>
        <v>8546</v>
      </c>
      <c r="M43" s="21">
        <f t="shared" si="12"/>
        <v>1.4431903749392006E-2</v>
      </c>
      <c r="N43" s="2"/>
      <c r="O43" s="2"/>
    </row>
    <row r="44" spans="1:15" ht="17.100000000000001" customHeight="1" x14ac:dyDescent="0.2">
      <c r="A44" s="26" t="s">
        <v>121</v>
      </c>
      <c r="B44" s="7" t="s">
        <v>122</v>
      </c>
      <c r="C44" s="18">
        <v>1218400</v>
      </c>
      <c r="D44" s="18"/>
      <c r="E44" s="18"/>
      <c r="F44" s="18"/>
      <c r="G44" s="18"/>
      <c r="H44" s="18"/>
      <c r="I44" s="18"/>
      <c r="J44" s="18">
        <f t="shared" si="11"/>
        <v>1218400</v>
      </c>
      <c r="K44" s="18">
        <v>0</v>
      </c>
      <c r="L44" s="18">
        <f t="shared" si="9"/>
        <v>1218400</v>
      </c>
      <c r="M44" s="21">
        <f t="shared" si="12"/>
        <v>0</v>
      </c>
      <c r="N44" s="2"/>
      <c r="O44" s="2"/>
    </row>
    <row r="45" spans="1:15" ht="17.100000000000001" hidden="1" customHeight="1" x14ac:dyDescent="0.2">
      <c r="A45" s="26" t="s">
        <v>123</v>
      </c>
      <c r="B45" s="7" t="s">
        <v>124</v>
      </c>
      <c r="C45" s="18">
        <v>0</v>
      </c>
      <c r="D45" s="18"/>
      <c r="E45" s="18"/>
      <c r="F45" s="18"/>
      <c r="G45" s="18"/>
      <c r="H45" s="18"/>
      <c r="I45" s="18"/>
      <c r="J45" s="18">
        <f t="shared" si="11"/>
        <v>0</v>
      </c>
      <c r="K45" s="18">
        <v>0</v>
      </c>
      <c r="L45" s="18">
        <f t="shared" si="9"/>
        <v>0</v>
      </c>
      <c r="M45" s="21">
        <f t="shared" si="12"/>
        <v>0</v>
      </c>
      <c r="N45" s="2"/>
      <c r="O45" s="2"/>
    </row>
    <row r="46" spans="1:15" ht="17.100000000000001" hidden="1" customHeight="1" x14ac:dyDescent="0.2">
      <c r="A46" s="26" t="s">
        <v>125</v>
      </c>
      <c r="B46" s="7" t="s">
        <v>126</v>
      </c>
      <c r="C46" s="18">
        <v>0</v>
      </c>
      <c r="D46" s="18"/>
      <c r="E46" s="18"/>
      <c r="F46" s="18"/>
      <c r="G46" s="18"/>
      <c r="H46" s="18"/>
      <c r="I46" s="18"/>
      <c r="J46" s="18">
        <f t="shared" si="11"/>
        <v>0</v>
      </c>
      <c r="K46" s="18">
        <v>0</v>
      </c>
      <c r="L46" s="18">
        <f t="shared" si="9"/>
        <v>0</v>
      </c>
      <c r="M46" s="21">
        <f t="shared" si="12"/>
        <v>0</v>
      </c>
      <c r="N46" s="2"/>
      <c r="O46" s="2"/>
    </row>
    <row r="47" spans="1:15" ht="17.100000000000001" customHeight="1" x14ac:dyDescent="0.2">
      <c r="A47" s="26" t="s">
        <v>127</v>
      </c>
      <c r="B47" s="7" t="s">
        <v>55</v>
      </c>
      <c r="C47" s="18">
        <v>104664</v>
      </c>
      <c r="D47" s="18"/>
      <c r="E47" s="18"/>
      <c r="F47" s="18"/>
      <c r="G47" s="18"/>
      <c r="H47" s="18"/>
      <c r="I47" s="18"/>
      <c r="J47" s="18">
        <f t="shared" si="11"/>
        <v>104664</v>
      </c>
      <c r="K47" s="18">
        <v>0</v>
      </c>
      <c r="L47" s="18">
        <f t="shared" si="9"/>
        <v>104664</v>
      </c>
      <c r="M47" s="21">
        <f t="shared" si="12"/>
        <v>0</v>
      </c>
      <c r="N47" s="2"/>
      <c r="O47" s="2"/>
    </row>
    <row r="48" spans="1:15" ht="17.100000000000001" customHeight="1" x14ac:dyDescent="0.2">
      <c r="A48" s="26" t="s">
        <v>128</v>
      </c>
      <c r="B48" s="7" t="s">
        <v>237</v>
      </c>
      <c r="C48" s="18">
        <v>459374.84</v>
      </c>
      <c r="D48" s="18"/>
      <c r="E48" s="18"/>
      <c r="F48" s="18"/>
      <c r="G48" s="18"/>
      <c r="H48" s="18"/>
      <c r="I48" s="18"/>
      <c r="J48" s="18">
        <f t="shared" si="11"/>
        <v>459374.84</v>
      </c>
      <c r="K48" s="18">
        <v>37863.99</v>
      </c>
      <c r="L48" s="18">
        <f t="shared" si="9"/>
        <v>421510.85000000003</v>
      </c>
      <c r="M48" s="21">
        <f t="shared" si="12"/>
        <v>0.14954829207661233</v>
      </c>
      <c r="N48" s="2"/>
      <c r="O48" s="2"/>
    </row>
    <row r="49" spans="1:15" ht="17.100000000000001" customHeight="1" x14ac:dyDescent="0.2">
      <c r="A49" s="26" t="s">
        <v>130</v>
      </c>
      <c r="B49" s="7" t="s">
        <v>56</v>
      </c>
      <c r="C49" s="18">
        <v>9000</v>
      </c>
      <c r="D49" s="18"/>
      <c r="E49" s="18"/>
      <c r="F49" s="18"/>
      <c r="G49" s="18"/>
      <c r="H49" s="18"/>
      <c r="I49" s="18"/>
      <c r="J49" s="18">
        <f t="shared" si="11"/>
        <v>9000</v>
      </c>
      <c r="K49" s="18">
        <v>0</v>
      </c>
      <c r="L49" s="18">
        <f t="shared" si="9"/>
        <v>9000</v>
      </c>
      <c r="M49" s="21">
        <f t="shared" si="12"/>
        <v>0</v>
      </c>
      <c r="N49" s="2"/>
      <c r="O49" s="2"/>
    </row>
    <row r="50" spans="1:15" ht="17.100000000000001" customHeight="1" x14ac:dyDescent="0.2">
      <c r="A50" s="26" t="s">
        <v>131</v>
      </c>
      <c r="B50" s="7" t="s">
        <v>57</v>
      </c>
      <c r="C50" s="18">
        <v>25000</v>
      </c>
      <c r="D50" s="18"/>
      <c r="E50" s="18"/>
      <c r="F50" s="18"/>
      <c r="G50" s="18"/>
      <c r="H50" s="18"/>
      <c r="I50" s="18"/>
      <c r="J50" s="18">
        <f t="shared" si="11"/>
        <v>25000</v>
      </c>
      <c r="K50" s="18">
        <v>0</v>
      </c>
      <c r="L50" s="18">
        <f t="shared" si="9"/>
        <v>25000</v>
      </c>
      <c r="M50" s="21">
        <f t="shared" si="12"/>
        <v>0</v>
      </c>
      <c r="N50" s="2"/>
      <c r="O50" s="2"/>
    </row>
    <row r="51" spans="1:15" ht="17.100000000000001" customHeight="1" x14ac:dyDescent="0.2">
      <c r="A51" s="26" t="s">
        <v>132</v>
      </c>
      <c r="B51" s="7" t="s">
        <v>133</v>
      </c>
      <c r="C51" s="18">
        <v>70560</v>
      </c>
      <c r="D51" s="18"/>
      <c r="E51" s="18"/>
      <c r="F51" s="18"/>
      <c r="G51" s="18"/>
      <c r="H51" s="18"/>
      <c r="I51" s="18"/>
      <c r="J51" s="18">
        <f t="shared" si="11"/>
        <v>70560</v>
      </c>
      <c r="K51" s="18">
        <v>0</v>
      </c>
      <c r="L51" s="18">
        <f t="shared" si="9"/>
        <v>70560</v>
      </c>
      <c r="M51" s="21">
        <f t="shared" si="12"/>
        <v>0</v>
      </c>
      <c r="N51" s="2"/>
      <c r="O51" s="2"/>
    </row>
    <row r="52" spans="1:15" ht="17.100000000000001" customHeight="1" x14ac:dyDescent="0.2">
      <c r="A52" s="26" t="s">
        <v>134</v>
      </c>
      <c r="B52" s="7" t="s">
        <v>58</v>
      </c>
      <c r="C52" s="18">
        <v>35200</v>
      </c>
      <c r="D52" s="18"/>
      <c r="E52" s="18"/>
      <c r="F52" s="18"/>
      <c r="G52" s="18"/>
      <c r="H52" s="18"/>
      <c r="I52" s="18"/>
      <c r="J52" s="18">
        <f t="shared" si="11"/>
        <v>35200</v>
      </c>
      <c r="K52" s="18"/>
      <c r="L52" s="18">
        <f t="shared" si="9"/>
        <v>35200</v>
      </c>
      <c r="M52" s="21">
        <f t="shared" si="12"/>
        <v>0</v>
      </c>
      <c r="N52" s="2"/>
      <c r="O52" s="2"/>
    </row>
    <row r="53" spans="1:15" ht="17.100000000000001" customHeight="1" x14ac:dyDescent="0.2">
      <c r="A53" s="26" t="s">
        <v>135</v>
      </c>
      <c r="B53" s="7" t="s">
        <v>59</v>
      </c>
      <c r="C53" s="18">
        <v>6550</v>
      </c>
      <c r="D53" s="18"/>
      <c r="E53" s="18"/>
      <c r="F53" s="18"/>
      <c r="G53" s="18"/>
      <c r="H53" s="18"/>
      <c r="I53" s="18"/>
      <c r="J53" s="18">
        <f t="shared" si="11"/>
        <v>6550</v>
      </c>
      <c r="K53" s="18">
        <v>0</v>
      </c>
      <c r="L53" s="18">
        <f t="shared" si="9"/>
        <v>6550</v>
      </c>
      <c r="M53" s="21">
        <f t="shared" si="12"/>
        <v>0</v>
      </c>
      <c r="N53" s="2"/>
      <c r="O53" s="2"/>
    </row>
    <row r="54" spans="1:15" ht="17.100000000000001" customHeight="1" x14ac:dyDescent="0.2">
      <c r="A54" s="26" t="s">
        <v>136</v>
      </c>
      <c r="B54" s="7" t="s">
        <v>137</v>
      </c>
      <c r="C54" s="18">
        <v>2000</v>
      </c>
      <c r="D54" s="18"/>
      <c r="E54" s="18"/>
      <c r="F54" s="18"/>
      <c r="G54" s="18"/>
      <c r="H54" s="18"/>
      <c r="I54" s="18"/>
      <c r="J54" s="18">
        <f t="shared" si="11"/>
        <v>2000</v>
      </c>
      <c r="K54" s="18">
        <v>0</v>
      </c>
      <c r="L54" s="18">
        <f t="shared" si="9"/>
        <v>2000</v>
      </c>
      <c r="M54" s="21">
        <f t="shared" si="12"/>
        <v>0</v>
      </c>
      <c r="N54" s="2"/>
      <c r="O54" s="2"/>
    </row>
    <row r="55" spans="1:15" ht="17.100000000000001" customHeight="1" x14ac:dyDescent="0.2">
      <c r="A55" s="26" t="s">
        <v>138</v>
      </c>
      <c r="B55" s="7" t="s">
        <v>139</v>
      </c>
      <c r="C55" s="18">
        <v>10000</v>
      </c>
      <c r="D55" s="18"/>
      <c r="E55" s="18"/>
      <c r="F55" s="18"/>
      <c r="G55" s="18"/>
      <c r="H55" s="18"/>
      <c r="I55" s="18"/>
      <c r="J55" s="18">
        <f t="shared" si="11"/>
        <v>10000</v>
      </c>
      <c r="K55" s="18">
        <v>0</v>
      </c>
      <c r="L55" s="18">
        <f t="shared" si="9"/>
        <v>10000</v>
      </c>
      <c r="M55" s="21">
        <f t="shared" si="12"/>
        <v>0</v>
      </c>
      <c r="N55" s="2"/>
      <c r="O55" s="2"/>
    </row>
    <row r="56" spans="1:15" ht="17.100000000000001" customHeight="1" x14ac:dyDescent="0.2">
      <c r="A56" s="26" t="s">
        <v>140</v>
      </c>
      <c r="B56" s="7" t="s">
        <v>141</v>
      </c>
      <c r="C56" s="18">
        <v>6900</v>
      </c>
      <c r="D56" s="18"/>
      <c r="E56" s="18"/>
      <c r="F56" s="18"/>
      <c r="G56" s="18"/>
      <c r="H56" s="18"/>
      <c r="I56" s="18"/>
      <c r="J56" s="18">
        <f t="shared" si="11"/>
        <v>6900</v>
      </c>
      <c r="K56" s="18">
        <v>262.51</v>
      </c>
      <c r="L56" s="18">
        <f t="shared" si="9"/>
        <v>6637.49</v>
      </c>
      <c r="M56" s="21">
        <f t="shared" si="12"/>
        <v>1.0368141908190737E-3</v>
      </c>
      <c r="N56" s="2"/>
      <c r="O56" s="2"/>
    </row>
    <row r="57" spans="1:15" ht="17.100000000000001" customHeight="1" x14ac:dyDescent="0.2">
      <c r="A57" s="26" t="s">
        <v>142</v>
      </c>
      <c r="B57" s="7" t="s">
        <v>143</v>
      </c>
      <c r="C57" s="18">
        <v>3000</v>
      </c>
      <c r="D57" s="18"/>
      <c r="E57" s="18"/>
      <c r="F57" s="18"/>
      <c r="G57" s="18"/>
      <c r="H57" s="18"/>
      <c r="I57" s="18"/>
      <c r="J57" s="18">
        <f t="shared" si="11"/>
        <v>3000</v>
      </c>
      <c r="K57" s="18">
        <v>915</v>
      </c>
      <c r="L57" s="18">
        <f t="shared" si="9"/>
        <v>2085</v>
      </c>
      <c r="M57" s="21">
        <f t="shared" si="12"/>
        <v>3.6139003641745171E-3</v>
      </c>
      <c r="N57" s="2"/>
      <c r="O57" s="2"/>
    </row>
    <row r="58" spans="1:15" ht="17.100000000000001" customHeight="1" x14ac:dyDescent="0.2">
      <c r="A58" s="26" t="s">
        <v>144</v>
      </c>
      <c r="B58" s="7" t="s">
        <v>145</v>
      </c>
      <c r="C58" s="18">
        <v>5000</v>
      </c>
      <c r="D58" s="18"/>
      <c r="E58" s="18"/>
      <c r="F58" s="18"/>
      <c r="G58" s="18"/>
      <c r="H58" s="18"/>
      <c r="I58" s="18"/>
      <c r="J58" s="18">
        <f t="shared" si="11"/>
        <v>5000</v>
      </c>
      <c r="K58" s="18">
        <v>0</v>
      </c>
      <c r="L58" s="18">
        <f t="shared" si="9"/>
        <v>5000</v>
      </c>
      <c r="M58" s="21">
        <f t="shared" si="12"/>
        <v>0</v>
      </c>
      <c r="N58" s="2"/>
      <c r="O58" s="2"/>
    </row>
    <row r="59" spans="1:15" ht="17.100000000000001" customHeight="1" x14ac:dyDescent="0.2">
      <c r="A59" s="26" t="s">
        <v>146</v>
      </c>
      <c r="B59" s="7" t="s">
        <v>147</v>
      </c>
      <c r="C59" s="18">
        <v>180000</v>
      </c>
      <c r="D59" s="18"/>
      <c r="E59" s="18"/>
      <c r="F59" s="18"/>
      <c r="G59" s="18"/>
      <c r="H59" s="18"/>
      <c r="I59" s="18"/>
      <c r="J59" s="18">
        <f t="shared" si="11"/>
        <v>180000</v>
      </c>
      <c r="K59" s="18">
        <v>0</v>
      </c>
      <c r="L59" s="18">
        <f t="shared" si="9"/>
        <v>180000</v>
      </c>
      <c r="M59" s="21">
        <f t="shared" si="12"/>
        <v>0</v>
      </c>
      <c r="N59" s="2"/>
      <c r="O59" s="2"/>
    </row>
    <row r="60" spans="1:15" ht="17.100000000000001" hidden="1" customHeight="1" x14ac:dyDescent="0.2">
      <c r="A60" s="26" t="s">
        <v>148</v>
      </c>
      <c r="B60" s="7" t="s">
        <v>149</v>
      </c>
      <c r="C60" s="18">
        <v>0</v>
      </c>
      <c r="D60" s="18"/>
      <c r="E60" s="18"/>
      <c r="F60" s="18"/>
      <c r="G60" s="18"/>
      <c r="H60" s="18"/>
      <c r="I60" s="18"/>
      <c r="J60" s="18">
        <f t="shared" si="11"/>
        <v>0</v>
      </c>
      <c r="K60" s="18">
        <v>0</v>
      </c>
      <c r="L60" s="18">
        <f t="shared" si="9"/>
        <v>0</v>
      </c>
      <c r="M60" s="21">
        <f t="shared" si="12"/>
        <v>0</v>
      </c>
      <c r="N60" s="2"/>
      <c r="O60" s="2"/>
    </row>
    <row r="61" spans="1:15" ht="17.100000000000001" customHeight="1" x14ac:dyDescent="0.2">
      <c r="A61" s="26" t="s">
        <v>150</v>
      </c>
      <c r="B61" s="7" t="s">
        <v>151</v>
      </c>
      <c r="C61" s="18">
        <v>40600</v>
      </c>
      <c r="D61" s="18"/>
      <c r="E61" s="18"/>
      <c r="F61" s="18"/>
      <c r="G61" s="18"/>
      <c r="H61" s="18"/>
      <c r="I61" s="18"/>
      <c r="J61" s="18">
        <f t="shared" si="11"/>
        <v>40600</v>
      </c>
      <c r="K61" s="18">
        <v>1825</v>
      </c>
      <c r="L61" s="18">
        <f t="shared" si="9"/>
        <v>38775</v>
      </c>
      <c r="M61" s="21">
        <f t="shared" si="12"/>
        <v>7.208052638927316E-3</v>
      </c>
      <c r="N61" s="2"/>
      <c r="O61" s="2"/>
    </row>
    <row r="62" spans="1:15" ht="17.100000000000001" customHeight="1" x14ac:dyDescent="0.2">
      <c r="A62" s="26" t="s">
        <v>152</v>
      </c>
      <c r="B62" s="7" t="s">
        <v>153</v>
      </c>
      <c r="C62" s="18">
        <v>60000</v>
      </c>
      <c r="D62" s="18"/>
      <c r="E62" s="18"/>
      <c r="F62" s="18"/>
      <c r="G62" s="18"/>
      <c r="H62" s="18"/>
      <c r="I62" s="18"/>
      <c r="J62" s="18">
        <f t="shared" si="11"/>
        <v>60000</v>
      </c>
      <c r="K62" s="18">
        <v>9000</v>
      </c>
      <c r="L62" s="18">
        <f t="shared" si="9"/>
        <v>51000</v>
      </c>
      <c r="M62" s="21">
        <f t="shared" si="12"/>
        <v>3.5546560959093615E-2</v>
      </c>
      <c r="N62" s="2"/>
      <c r="O62" s="2"/>
    </row>
    <row r="63" spans="1:15" ht="17.100000000000001" customHeight="1" x14ac:dyDescent="0.2">
      <c r="A63" s="26" t="s">
        <v>154</v>
      </c>
      <c r="B63" s="7" t="s">
        <v>60</v>
      </c>
      <c r="C63" s="18">
        <v>11300</v>
      </c>
      <c r="D63" s="18"/>
      <c r="E63" s="18"/>
      <c r="F63" s="18"/>
      <c r="G63" s="18"/>
      <c r="H63" s="18"/>
      <c r="I63" s="18"/>
      <c r="J63" s="18">
        <f t="shared" si="11"/>
        <v>11300</v>
      </c>
      <c r="K63" s="18">
        <v>594</v>
      </c>
      <c r="L63" s="18">
        <f t="shared" si="9"/>
        <v>10706</v>
      </c>
      <c r="M63" s="21">
        <f t="shared" si="12"/>
        <v>2.3460730233001784E-3</v>
      </c>
      <c r="N63" s="2"/>
      <c r="O63" s="2"/>
    </row>
    <row r="64" spans="1:15" ht="17.100000000000001" customHeight="1" x14ac:dyDescent="0.2">
      <c r="A64" s="26" t="s">
        <v>155</v>
      </c>
      <c r="B64" s="7" t="s">
        <v>156</v>
      </c>
      <c r="C64" s="18">
        <v>15500</v>
      </c>
      <c r="D64" s="18"/>
      <c r="E64" s="18"/>
      <c r="F64" s="18"/>
      <c r="G64" s="18"/>
      <c r="H64" s="18"/>
      <c r="I64" s="18"/>
      <c r="J64" s="18">
        <f t="shared" si="11"/>
        <v>15500</v>
      </c>
      <c r="K64" s="18">
        <v>0</v>
      </c>
      <c r="L64" s="18">
        <f t="shared" si="9"/>
        <v>15500</v>
      </c>
      <c r="M64" s="21">
        <f t="shared" si="12"/>
        <v>0</v>
      </c>
      <c r="N64" s="2"/>
      <c r="O64" s="2"/>
    </row>
    <row r="65" spans="1:15" ht="17.100000000000001" customHeight="1" x14ac:dyDescent="0.2">
      <c r="A65" s="26" t="s">
        <v>157</v>
      </c>
      <c r="B65" s="7" t="s">
        <v>61</v>
      </c>
      <c r="C65" s="18">
        <v>24394.959999999995</v>
      </c>
      <c r="D65" s="18"/>
      <c r="E65" s="18"/>
      <c r="F65" s="18"/>
      <c r="G65" s="18"/>
      <c r="H65" s="18"/>
      <c r="I65" s="18"/>
      <c r="J65" s="18">
        <f t="shared" si="11"/>
        <v>24394.959999999995</v>
      </c>
      <c r="K65" s="18">
        <v>800</v>
      </c>
      <c r="L65" s="18">
        <f t="shared" si="9"/>
        <v>23594.959999999995</v>
      </c>
      <c r="M65" s="21">
        <f t="shared" si="12"/>
        <v>3.1596943074749875E-3</v>
      </c>
      <c r="N65" s="2"/>
      <c r="O65" s="2"/>
    </row>
    <row r="66" spans="1:15" ht="17.100000000000001" customHeight="1" x14ac:dyDescent="0.2">
      <c r="A66" s="26" t="s">
        <v>158</v>
      </c>
      <c r="B66" s="7" t="s">
        <v>62</v>
      </c>
      <c r="C66" s="18">
        <v>80000</v>
      </c>
      <c r="D66" s="18"/>
      <c r="E66" s="18"/>
      <c r="F66" s="18"/>
      <c r="G66" s="18"/>
      <c r="H66" s="18"/>
      <c r="I66" s="18"/>
      <c r="J66" s="18">
        <f t="shared" si="11"/>
        <v>80000</v>
      </c>
      <c r="K66" s="18">
        <v>0</v>
      </c>
      <c r="L66" s="18">
        <f t="shared" si="9"/>
        <v>80000</v>
      </c>
      <c r="M66" s="21">
        <f t="shared" si="12"/>
        <v>0</v>
      </c>
      <c r="N66" s="2"/>
      <c r="O66" s="2"/>
    </row>
    <row r="67" spans="1:15" ht="17.100000000000001" customHeight="1" x14ac:dyDescent="0.2">
      <c r="A67" s="26" t="s">
        <v>159</v>
      </c>
      <c r="B67" s="7" t="s">
        <v>238</v>
      </c>
      <c r="C67" s="18">
        <v>244000</v>
      </c>
      <c r="D67" s="18"/>
      <c r="E67" s="18"/>
      <c r="F67" s="18"/>
      <c r="G67" s="18"/>
      <c r="H67" s="18"/>
      <c r="I67" s="18"/>
      <c r="J67" s="18">
        <f t="shared" si="11"/>
        <v>244000</v>
      </c>
      <c r="K67" s="18">
        <v>21950</v>
      </c>
      <c r="L67" s="18">
        <f t="shared" si="9"/>
        <v>222050</v>
      </c>
      <c r="M67" s="21">
        <f t="shared" si="12"/>
        <v>8.6694112561344974E-2</v>
      </c>
      <c r="N67" s="2"/>
      <c r="O67" s="2"/>
    </row>
    <row r="68" spans="1:15" ht="17.100000000000001" customHeight="1" x14ac:dyDescent="0.2">
      <c r="A68" s="26" t="s">
        <v>160</v>
      </c>
      <c r="B68" s="7" t="s">
        <v>64</v>
      </c>
      <c r="C68" s="18">
        <v>11250</v>
      </c>
      <c r="D68" s="18"/>
      <c r="E68" s="18"/>
      <c r="F68" s="18"/>
      <c r="G68" s="18"/>
      <c r="H68" s="18"/>
      <c r="I68" s="18"/>
      <c r="J68" s="18">
        <f t="shared" si="11"/>
        <v>11250</v>
      </c>
      <c r="K68" s="18">
        <v>0</v>
      </c>
      <c r="L68" s="18">
        <f t="shared" si="9"/>
        <v>11250</v>
      </c>
      <c r="M68" s="21">
        <f t="shared" si="12"/>
        <v>0</v>
      </c>
      <c r="N68" s="2"/>
      <c r="O68" s="2"/>
    </row>
    <row r="69" spans="1:15" ht="17.100000000000001" customHeight="1" x14ac:dyDescent="0.2">
      <c r="A69" s="26" t="s">
        <v>161</v>
      </c>
      <c r="B69" s="7" t="s">
        <v>239</v>
      </c>
      <c r="C69" s="18">
        <v>5000</v>
      </c>
      <c r="D69" s="18"/>
      <c r="E69" s="18"/>
      <c r="F69" s="18"/>
      <c r="G69" s="18"/>
      <c r="H69" s="18"/>
      <c r="I69" s="18"/>
      <c r="J69" s="18">
        <f t="shared" si="11"/>
        <v>5000</v>
      </c>
      <c r="K69" s="18">
        <v>83.74</v>
      </c>
      <c r="L69" s="18">
        <f t="shared" si="9"/>
        <v>4916.26</v>
      </c>
      <c r="M69" s="21">
        <f t="shared" si="12"/>
        <v>3.3074100163494431E-4</v>
      </c>
      <c r="N69" s="2"/>
      <c r="O69" s="2"/>
    </row>
    <row r="70" spans="1:15" ht="17.100000000000001" customHeight="1" x14ac:dyDescent="0.2">
      <c r="A70" s="26" t="s">
        <v>163</v>
      </c>
      <c r="B70" s="7" t="s">
        <v>164</v>
      </c>
      <c r="C70" s="18">
        <v>5000</v>
      </c>
      <c r="D70" s="18"/>
      <c r="E70" s="18"/>
      <c r="F70" s="18"/>
      <c r="G70" s="18"/>
      <c r="H70" s="18"/>
      <c r="I70" s="18"/>
      <c r="J70" s="18">
        <f t="shared" si="11"/>
        <v>5000</v>
      </c>
      <c r="K70" s="18">
        <v>736.46</v>
      </c>
      <c r="L70" s="18">
        <f t="shared" si="9"/>
        <v>4263.54</v>
      </c>
      <c r="M70" s="21">
        <f t="shared" si="12"/>
        <v>2.908735587103787E-3</v>
      </c>
      <c r="N70" s="2"/>
      <c r="O70" s="2"/>
    </row>
    <row r="71" spans="1:15" ht="17.100000000000001" customHeight="1" x14ac:dyDescent="0.2">
      <c r="A71" s="26" t="s">
        <v>165</v>
      </c>
      <c r="B71" s="7" t="s">
        <v>65</v>
      </c>
      <c r="C71" s="18">
        <v>21150</v>
      </c>
      <c r="D71" s="18"/>
      <c r="E71" s="18"/>
      <c r="F71" s="18"/>
      <c r="G71" s="18"/>
      <c r="H71" s="18"/>
      <c r="I71" s="18"/>
      <c r="J71" s="18">
        <f t="shared" si="11"/>
        <v>21150</v>
      </c>
      <c r="K71" s="18">
        <v>0</v>
      </c>
      <c r="L71" s="18">
        <f t="shared" si="9"/>
        <v>21150</v>
      </c>
      <c r="M71" s="21">
        <f t="shared" si="12"/>
        <v>0</v>
      </c>
      <c r="N71" s="2"/>
      <c r="O71" s="2"/>
    </row>
    <row r="72" spans="1:15" ht="17.100000000000001" customHeight="1" x14ac:dyDescent="0.2">
      <c r="A72" s="26" t="s">
        <v>166</v>
      </c>
      <c r="B72" s="7" t="s">
        <v>167</v>
      </c>
      <c r="C72" s="18">
        <v>17000</v>
      </c>
      <c r="D72" s="18"/>
      <c r="E72" s="18"/>
      <c r="F72" s="18"/>
      <c r="G72" s="18"/>
      <c r="H72" s="18"/>
      <c r="I72" s="18"/>
      <c r="J72" s="18">
        <f t="shared" si="11"/>
        <v>17000</v>
      </c>
      <c r="K72" s="18">
        <v>337</v>
      </c>
      <c r="L72" s="18">
        <f t="shared" si="9"/>
        <v>16663</v>
      </c>
      <c r="M72" s="21">
        <f t="shared" si="12"/>
        <v>1.3310212270238385E-3</v>
      </c>
      <c r="N72" s="2"/>
      <c r="O72" s="2"/>
    </row>
    <row r="73" spans="1:15" ht="17.100000000000001" customHeight="1" x14ac:dyDescent="0.2">
      <c r="A73" s="26"/>
      <c r="B73" s="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21"/>
      <c r="N73" s="2"/>
      <c r="O73" s="2"/>
    </row>
    <row r="74" spans="1:15" ht="17.100000000000001" customHeight="1" x14ac:dyDescent="0.25">
      <c r="A74" s="27">
        <v>2</v>
      </c>
      <c r="B74" s="17" t="s">
        <v>66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1"/>
      <c r="N74" s="2"/>
      <c r="O74" s="2"/>
    </row>
    <row r="75" spans="1:15" ht="17.100000000000001" customHeight="1" x14ac:dyDescent="0.2">
      <c r="A75" s="26" t="s">
        <v>168</v>
      </c>
      <c r="B75" s="7" t="s">
        <v>67</v>
      </c>
      <c r="C75" s="18">
        <v>116357.64</v>
      </c>
      <c r="D75" s="18"/>
      <c r="E75" s="18"/>
      <c r="F75" s="18"/>
      <c r="G75" s="18"/>
      <c r="H75" s="18"/>
      <c r="I75" s="18"/>
      <c r="J75" s="18">
        <f t="shared" si="11"/>
        <v>116357.64</v>
      </c>
      <c r="K75" s="18">
        <v>9305.3000000000011</v>
      </c>
      <c r="L75" s="18">
        <f t="shared" si="9"/>
        <v>107052.34</v>
      </c>
      <c r="M75" s="21">
        <f t="shared" ref="M75:M101" si="13">K75/$K$120</f>
        <v>3.6752379299183756E-2</v>
      </c>
      <c r="N75" s="2"/>
      <c r="O75" s="2"/>
    </row>
    <row r="76" spans="1:15" ht="17.100000000000001" hidden="1" customHeight="1" x14ac:dyDescent="0.2">
      <c r="A76" s="26" t="s">
        <v>169</v>
      </c>
      <c r="B76" s="7" t="s">
        <v>68</v>
      </c>
      <c r="C76" s="18">
        <v>0</v>
      </c>
      <c r="D76" s="18"/>
      <c r="E76" s="18"/>
      <c r="F76" s="18"/>
      <c r="G76" s="18"/>
      <c r="H76" s="18"/>
      <c r="I76" s="18"/>
      <c r="J76" s="18">
        <f t="shared" si="11"/>
        <v>0</v>
      </c>
      <c r="K76" s="18"/>
      <c r="L76" s="18">
        <f t="shared" si="9"/>
        <v>0</v>
      </c>
      <c r="M76" s="21">
        <f t="shared" si="13"/>
        <v>0</v>
      </c>
      <c r="N76" s="2"/>
      <c r="O76" s="2"/>
    </row>
    <row r="77" spans="1:15" ht="17.100000000000001" customHeight="1" x14ac:dyDescent="0.2">
      <c r="A77" s="26" t="s">
        <v>170</v>
      </c>
      <c r="B77" s="7" t="s">
        <v>69</v>
      </c>
      <c r="C77" s="18">
        <v>2080</v>
      </c>
      <c r="D77" s="18"/>
      <c r="E77" s="18"/>
      <c r="F77" s="18"/>
      <c r="G77" s="18"/>
      <c r="H77" s="18"/>
      <c r="I77" s="18"/>
      <c r="J77" s="18">
        <f t="shared" si="11"/>
        <v>2080</v>
      </c>
      <c r="K77" s="18">
        <v>160</v>
      </c>
      <c r="L77" s="18">
        <f t="shared" si="9"/>
        <v>1920</v>
      </c>
      <c r="M77" s="21">
        <f t="shared" si="13"/>
        <v>6.3193886149499759E-4</v>
      </c>
      <c r="N77" s="2"/>
      <c r="O77" s="2"/>
    </row>
    <row r="78" spans="1:15" ht="17.100000000000001" customHeight="1" x14ac:dyDescent="0.2">
      <c r="A78" s="26" t="s">
        <v>171</v>
      </c>
      <c r="B78" s="7" t="s">
        <v>70</v>
      </c>
      <c r="C78" s="18">
        <v>62500</v>
      </c>
      <c r="D78" s="18"/>
      <c r="E78" s="18"/>
      <c r="F78" s="18"/>
      <c r="G78" s="18"/>
      <c r="H78" s="18"/>
      <c r="I78" s="18"/>
      <c r="J78" s="18">
        <f t="shared" si="11"/>
        <v>62500</v>
      </c>
      <c r="K78" s="18">
        <v>0</v>
      </c>
      <c r="L78" s="18">
        <f t="shared" si="9"/>
        <v>62500</v>
      </c>
      <c r="M78" s="21">
        <f t="shared" si="13"/>
        <v>0</v>
      </c>
      <c r="N78" s="2"/>
      <c r="O78" s="2"/>
    </row>
    <row r="79" spans="1:15" ht="17.100000000000001" customHeight="1" x14ac:dyDescent="0.2">
      <c r="A79" s="26" t="s">
        <v>172</v>
      </c>
      <c r="B79" s="7" t="s">
        <v>71</v>
      </c>
      <c r="C79" s="18">
        <v>6000</v>
      </c>
      <c r="D79" s="18"/>
      <c r="E79" s="18"/>
      <c r="F79" s="18"/>
      <c r="G79" s="18"/>
      <c r="H79" s="18"/>
      <c r="I79" s="18"/>
      <c r="J79" s="18">
        <f t="shared" si="11"/>
        <v>6000</v>
      </c>
      <c r="K79" s="18">
        <v>750</v>
      </c>
      <c r="L79" s="18">
        <f t="shared" si="9"/>
        <v>5250</v>
      </c>
      <c r="M79" s="21">
        <f t="shared" si="13"/>
        <v>2.9622134132578008E-3</v>
      </c>
      <c r="N79" s="2"/>
      <c r="O79" s="2"/>
    </row>
    <row r="80" spans="1:15" ht="17.100000000000001" customHeight="1" x14ac:dyDescent="0.2">
      <c r="A80" s="26" t="s">
        <v>173</v>
      </c>
      <c r="B80" s="7" t="s">
        <v>72</v>
      </c>
      <c r="C80" s="18">
        <v>1100</v>
      </c>
      <c r="D80" s="18"/>
      <c r="E80" s="18"/>
      <c r="F80" s="18"/>
      <c r="G80" s="18"/>
      <c r="H80" s="18"/>
      <c r="I80" s="18"/>
      <c r="J80" s="18">
        <f t="shared" si="11"/>
        <v>1100</v>
      </c>
      <c r="K80" s="18">
        <v>54.9</v>
      </c>
      <c r="L80" s="18">
        <f t="shared" si="9"/>
        <v>1045.0999999999999</v>
      </c>
      <c r="M80" s="21">
        <f t="shared" si="13"/>
        <v>2.1683402185047104E-4</v>
      </c>
      <c r="N80" s="2"/>
      <c r="O80" s="2"/>
    </row>
    <row r="81" spans="1:15" ht="17.100000000000001" customHeight="1" x14ac:dyDescent="0.2">
      <c r="A81" s="26" t="s">
        <v>174</v>
      </c>
      <c r="B81" s="7" t="s">
        <v>175</v>
      </c>
      <c r="C81" s="18">
        <v>2255</v>
      </c>
      <c r="D81" s="18"/>
      <c r="E81" s="18"/>
      <c r="F81" s="18"/>
      <c r="G81" s="18"/>
      <c r="H81" s="18"/>
      <c r="I81" s="18"/>
      <c r="J81" s="18">
        <f t="shared" si="11"/>
        <v>2255</v>
      </c>
      <c r="K81" s="18">
        <v>624</v>
      </c>
      <c r="L81" s="18">
        <f t="shared" si="9"/>
        <v>1631</v>
      </c>
      <c r="M81" s="21">
        <f t="shared" si="13"/>
        <v>2.4645615598304902E-3</v>
      </c>
      <c r="N81" s="2"/>
      <c r="O81" s="2"/>
    </row>
    <row r="82" spans="1:15" ht="17.100000000000001" customHeight="1" x14ac:dyDescent="0.2">
      <c r="A82" s="26" t="s">
        <v>176</v>
      </c>
      <c r="B82" s="7" t="s">
        <v>177</v>
      </c>
      <c r="C82" s="18">
        <v>1300</v>
      </c>
      <c r="D82" s="18"/>
      <c r="E82" s="18"/>
      <c r="F82" s="18"/>
      <c r="G82" s="18"/>
      <c r="H82" s="18"/>
      <c r="I82" s="18"/>
      <c r="J82" s="18">
        <f t="shared" si="11"/>
        <v>1300</v>
      </c>
      <c r="K82" s="18">
        <v>8</v>
      </c>
      <c r="L82" s="18">
        <f t="shared" si="9"/>
        <v>1292</v>
      </c>
      <c r="M82" s="21">
        <f t="shared" si="13"/>
        <v>3.1596943074749878E-5</v>
      </c>
      <c r="N82" s="2"/>
      <c r="O82" s="2"/>
    </row>
    <row r="83" spans="1:15" ht="17.100000000000001" customHeight="1" x14ac:dyDescent="0.2">
      <c r="A83" s="26" t="s">
        <v>178</v>
      </c>
      <c r="B83" s="7" t="s">
        <v>179</v>
      </c>
      <c r="C83" s="18">
        <v>7500</v>
      </c>
      <c r="D83" s="18"/>
      <c r="E83" s="18"/>
      <c r="F83" s="18"/>
      <c r="G83" s="18"/>
      <c r="H83" s="18"/>
      <c r="I83" s="18"/>
      <c r="J83" s="18">
        <f t="shared" si="11"/>
        <v>7500</v>
      </c>
      <c r="K83" s="18">
        <v>0</v>
      </c>
      <c r="L83" s="18">
        <f t="shared" si="9"/>
        <v>7500</v>
      </c>
      <c r="M83" s="21">
        <f t="shared" si="13"/>
        <v>0</v>
      </c>
      <c r="N83" s="2"/>
      <c r="O83" s="2"/>
    </row>
    <row r="84" spans="1:15" ht="17.100000000000001" customHeight="1" x14ac:dyDescent="0.2">
      <c r="A84" s="26" t="s">
        <v>180</v>
      </c>
      <c r="B84" s="7" t="s">
        <v>73</v>
      </c>
      <c r="C84" s="18">
        <v>200</v>
      </c>
      <c r="D84" s="18"/>
      <c r="E84" s="18"/>
      <c r="F84" s="18"/>
      <c r="G84" s="18"/>
      <c r="H84" s="18"/>
      <c r="I84" s="18"/>
      <c r="J84" s="18">
        <f t="shared" si="11"/>
        <v>200</v>
      </c>
      <c r="K84" s="18">
        <v>0</v>
      </c>
      <c r="L84" s="18">
        <f t="shared" si="9"/>
        <v>200</v>
      </c>
      <c r="M84" s="21">
        <f t="shared" si="13"/>
        <v>0</v>
      </c>
      <c r="N84" s="2"/>
      <c r="O84" s="2"/>
    </row>
    <row r="85" spans="1:15" ht="17.100000000000001" customHeight="1" x14ac:dyDescent="0.2">
      <c r="A85" s="26" t="s">
        <v>181</v>
      </c>
      <c r="B85" s="7" t="s">
        <v>74</v>
      </c>
      <c r="C85" s="18">
        <v>10920</v>
      </c>
      <c r="D85" s="18"/>
      <c r="E85" s="18"/>
      <c r="F85" s="18"/>
      <c r="G85" s="18"/>
      <c r="H85" s="18"/>
      <c r="I85" s="18"/>
      <c r="J85" s="18">
        <f t="shared" si="11"/>
        <v>10920</v>
      </c>
      <c r="K85" s="18">
        <v>967.97</v>
      </c>
      <c r="L85" s="18">
        <f t="shared" si="9"/>
        <v>9952.0300000000007</v>
      </c>
      <c r="M85" s="21">
        <f t="shared" si="13"/>
        <v>3.8231116235082048E-3</v>
      </c>
      <c r="N85" s="2"/>
      <c r="O85" s="2"/>
    </row>
    <row r="86" spans="1:15" ht="17.100000000000001" customHeight="1" x14ac:dyDescent="0.2">
      <c r="A86" s="26" t="s">
        <v>182</v>
      </c>
      <c r="B86" s="7" t="s">
        <v>183</v>
      </c>
      <c r="C86" s="18">
        <v>1850</v>
      </c>
      <c r="D86" s="18"/>
      <c r="E86" s="18"/>
      <c r="F86" s="18"/>
      <c r="G86" s="18"/>
      <c r="H86" s="18"/>
      <c r="I86" s="18"/>
      <c r="J86" s="18">
        <f t="shared" si="11"/>
        <v>1850</v>
      </c>
      <c r="K86" s="18">
        <v>308.10000000000002</v>
      </c>
      <c r="L86" s="18">
        <f t="shared" si="9"/>
        <v>1541.9</v>
      </c>
      <c r="M86" s="21">
        <f t="shared" si="13"/>
        <v>1.2168772701663048E-3</v>
      </c>
      <c r="N86" s="2"/>
      <c r="O86" s="2"/>
    </row>
    <row r="87" spans="1:15" ht="17.100000000000001" customHeight="1" x14ac:dyDescent="0.2">
      <c r="A87" s="26" t="s">
        <v>184</v>
      </c>
      <c r="B87" s="7" t="s">
        <v>75</v>
      </c>
      <c r="C87" s="18">
        <v>19000</v>
      </c>
      <c r="D87" s="18"/>
      <c r="E87" s="18"/>
      <c r="F87" s="18"/>
      <c r="G87" s="18"/>
      <c r="H87" s="18"/>
      <c r="I87" s="18"/>
      <c r="J87" s="18">
        <f t="shared" si="11"/>
        <v>19000</v>
      </c>
      <c r="K87" s="18">
        <v>1528.98</v>
      </c>
      <c r="L87" s="18">
        <f t="shared" si="9"/>
        <v>17471.02</v>
      </c>
      <c r="M87" s="21">
        <f t="shared" si="13"/>
        <v>6.0388867528038837E-3</v>
      </c>
      <c r="N87" s="2"/>
      <c r="O87" s="2"/>
    </row>
    <row r="88" spans="1:15" ht="17.100000000000001" customHeight="1" x14ac:dyDescent="0.2">
      <c r="A88" s="26" t="s">
        <v>185</v>
      </c>
      <c r="B88" s="7" t="s">
        <v>186</v>
      </c>
      <c r="C88" s="18">
        <v>4793.1600000000008</v>
      </c>
      <c r="D88" s="18"/>
      <c r="E88" s="18"/>
      <c r="F88" s="18"/>
      <c r="G88" s="18"/>
      <c r="H88" s="18"/>
      <c r="I88" s="18"/>
      <c r="J88" s="18">
        <f t="shared" si="11"/>
        <v>4793.1600000000008</v>
      </c>
      <c r="K88" s="18">
        <v>395.3</v>
      </c>
      <c r="L88" s="18">
        <f t="shared" si="9"/>
        <v>4397.8600000000006</v>
      </c>
      <c r="M88" s="21">
        <f t="shared" si="13"/>
        <v>1.5612839496810783E-3</v>
      </c>
      <c r="N88" s="2"/>
      <c r="O88" s="2"/>
    </row>
    <row r="89" spans="1:15" ht="17.100000000000001" customHeight="1" x14ac:dyDescent="0.2">
      <c r="A89" s="26" t="s">
        <v>187</v>
      </c>
      <c r="B89" s="7" t="s">
        <v>188</v>
      </c>
      <c r="C89" s="18">
        <v>1250</v>
      </c>
      <c r="D89" s="18"/>
      <c r="E89" s="18"/>
      <c r="F89" s="18"/>
      <c r="G89" s="18"/>
      <c r="H89" s="18"/>
      <c r="I89" s="18"/>
      <c r="J89" s="18">
        <f t="shared" si="11"/>
        <v>1250</v>
      </c>
      <c r="K89" s="18">
        <v>0</v>
      </c>
      <c r="L89" s="18">
        <f t="shared" ref="L89:L118" si="14">J89-K89</f>
        <v>1250</v>
      </c>
      <c r="M89" s="21">
        <f t="shared" si="13"/>
        <v>0</v>
      </c>
      <c r="N89" s="2"/>
      <c r="O89" s="2"/>
    </row>
    <row r="90" spans="1:15" ht="17.100000000000001" customHeight="1" x14ac:dyDescent="0.2">
      <c r="A90" s="26" t="s">
        <v>189</v>
      </c>
      <c r="B90" s="7" t="s">
        <v>76</v>
      </c>
      <c r="C90" s="18">
        <v>165089.08000000002</v>
      </c>
      <c r="D90" s="18"/>
      <c r="E90" s="18"/>
      <c r="F90" s="18"/>
      <c r="G90" s="18"/>
      <c r="H90" s="18"/>
      <c r="I90" s="18"/>
      <c r="J90" s="18">
        <f t="shared" si="11"/>
        <v>165089.08000000002</v>
      </c>
      <c r="K90" s="18">
        <v>0</v>
      </c>
      <c r="L90" s="18">
        <f t="shared" si="14"/>
        <v>165089.08000000002</v>
      </c>
      <c r="M90" s="21">
        <f t="shared" si="13"/>
        <v>0</v>
      </c>
      <c r="N90" s="2"/>
      <c r="O90" s="2"/>
    </row>
    <row r="91" spans="1:15" ht="17.100000000000001" customHeight="1" x14ac:dyDescent="0.2">
      <c r="A91" s="26" t="s">
        <v>190</v>
      </c>
      <c r="B91" s="7" t="s">
        <v>77</v>
      </c>
      <c r="C91" s="18">
        <v>0</v>
      </c>
      <c r="D91" s="18"/>
      <c r="E91" s="18"/>
      <c r="F91" s="18"/>
      <c r="G91" s="18"/>
      <c r="H91" s="18"/>
      <c r="I91" s="18"/>
      <c r="J91" s="18">
        <f t="shared" si="11"/>
        <v>0</v>
      </c>
      <c r="K91" s="18">
        <v>0</v>
      </c>
      <c r="L91" s="18">
        <f t="shared" si="14"/>
        <v>0</v>
      </c>
      <c r="M91" s="21">
        <f t="shared" si="13"/>
        <v>0</v>
      </c>
      <c r="N91" s="2"/>
      <c r="O91" s="2"/>
    </row>
    <row r="92" spans="1:15" ht="17.100000000000001" customHeight="1" x14ac:dyDescent="0.2">
      <c r="A92" s="26" t="s">
        <v>191</v>
      </c>
      <c r="B92" s="7" t="s">
        <v>78</v>
      </c>
      <c r="C92" s="18">
        <v>1000</v>
      </c>
      <c r="D92" s="18"/>
      <c r="E92" s="18"/>
      <c r="F92" s="18"/>
      <c r="G92" s="18"/>
      <c r="H92" s="18"/>
      <c r="I92" s="18"/>
      <c r="J92" s="18">
        <f t="shared" si="11"/>
        <v>1000</v>
      </c>
      <c r="K92" s="18">
        <v>169.6</v>
      </c>
      <c r="L92" s="18">
        <f t="shared" si="14"/>
        <v>830.4</v>
      </c>
      <c r="M92" s="21">
        <f t="shared" si="13"/>
        <v>6.6985519318469742E-4</v>
      </c>
      <c r="N92" s="2"/>
      <c r="O92" s="2"/>
    </row>
    <row r="93" spans="1:15" ht="17.100000000000001" customHeight="1" x14ac:dyDescent="0.2">
      <c r="A93" s="26" t="s">
        <v>192</v>
      </c>
      <c r="B93" s="7" t="s">
        <v>79</v>
      </c>
      <c r="C93" s="18">
        <v>7500</v>
      </c>
      <c r="D93" s="18"/>
      <c r="E93" s="18"/>
      <c r="F93" s="18"/>
      <c r="G93" s="18"/>
      <c r="H93" s="18"/>
      <c r="I93" s="18"/>
      <c r="J93" s="18">
        <f t="shared" si="11"/>
        <v>7500</v>
      </c>
      <c r="K93" s="18">
        <v>0</v>
      </c>
      <c r="L93" s="18">
        <f t="shared" si="14"/>
        <v>7500</v>
      </c>
      <c r="M93" s="21">
        <f t="shared" si="13"/>
        <v>0</v>
      </c>
      <c r="N93" s="2"/>
      <c r="O93" s="2"/>
    </row>
    <row r="94" spans="1:15" ht="17.100000000000001" customHeight="1" x14ac:dyDescent="0.2">
      <c r="A94" s="26" t="s">
        <v>193</v>
      </c>
      <c r="B94" s="7" t="s">
        <v>194</v>
      </c>
      <c r="C94" s="18">
        <v>1125749.23</v>
      </c>
      <c r="D94" s="18"/>
      <c r="E94" s="18"/>
      <c r="F94" s="18"/>
      <c r="G94" s="18"/>
      <c r="H94" s="18"/>
      <c r="I94" s="18"/>
      <c r="J94" s="18">
        <f t="shared" si="11"/>
        <v>1125749.23</v>
      </c>
      <c r="K94" s="18">
        <v>0</v>
      </c>
      <c r="L94" s="18">
        <f t="shared" si="14"/>
        <v>1125749.23</v>
      </c>
      <c r="M94" s="21">
        <f t="shared" si="13"/>
        <v>0</v>
      </c>
      <c r="N94" s="2"/>
      <c r="O94" s="2"/>
    </row>
    <row r="95" spans="1:15" ht="17.100000000000001" customHeight="1" x14ac:dyDescent="0.2">
      <c r="A95" s="26" t="s">
        <v>195</v>
      </c>
      <c r="B95" s="7" t="s">
        <v>80</v>
      </c>
      <c r="C95" s="18">
        <v>9940</v>
      </c>
      <c r="D95" s="18"/>
      <c r="E95" s="18"/>
      <c r="F95" s="18"/>
      <c r="G95" s="18"/>
      <c r="H95" s="18"/>
      <c r="I95" s="18"/>
      <c r="J95" s="18">
        <f t="shared" si="11"/>
        <v>9940</v>
      </c>
      <c r="K95" s="18">
        <v>861.3</v>
      </c>
      <c r="L95" s="18">
        <f t="shared" si="14"/>
        <v>9078.7000000000007</v>
      </c>
      <c r="M95" s="21">
        <f t="shared" si="13"/>
        <v>3.4018058837852585E-3</v>
      </c>
      <c r="N95" s="2"/>
      <c r="O95" s="2"/>
    </row>
    <row r="96" spans="1:15" ht="17.100000000000001" customHeight="1" x14ac:dyDescent="0.2">
      <c r="A96" s="26" t="s">
        <v>196</v>
      </c>
      <c r="B96" s="7" t="s">
        <v>197</v>
      </c>
      <c r="C96" s="18">
        <v>2250</v>
      </c>
      <c r="D96" s="18"/>
      <c r="E96" s="18"/>
      <c r="F96" s="18"/>
      <c r="G96" s="18"/>
      <c r="H96" s="18"/>
      <c r="I96" s="18"/>
      <c r="J96" s="18">
        <f t="shared" si="11"/>
        <v>2250</v>
      </c>
      <c r="K96" s="18">
        <v>102.10000000000001</v>
      </c>
      <c r="L96" s="18">
        <f t="shared" si="14"/>
        <v>2147.9</v>
      </c>
      <c r="M96" s="21">
        <f t="shared" si="13"/>
        <v>4.0325598599149536E-4</v>
      </c>
      <c r="N96" s="2"/>
      <c r="O96" s="2"/>
    </row>
    <row r="97" spans="1:15" ht="17.100000000000001" customHeight="1" x14ac:dyDescent="0.2">
      <c r="A97" s="26" t="s">
        <v>198</v>
      </c>
      <c r="B97" s="7" t="s">
        <v>81</v>
      </c>
      <c r="C97" s="18">
        <v>122483.72</v>
      </c>
      <c r="D97" s="18"/>
      <c r="E97" s="18"/>
      <c r="F97" s="18"/>
      <c r="G97" s="18"/>
      <c r="H97" s="18"/>
      <c r="I97" s="18"/>
      <c r="J97" s="18">
        <f t="shared" si="11"/>
        <v>122483.72</v>
      </c>
      <c r="K97" s="18">
        <v>0</v>
      </c>
      <c r="L97" s="18">
        <f t="shared" si="14"/>
        <v>122483.72</v>
      </c>
      <c r="M97" s="21">
        <f t="shared" si="13"/>
        <v>0</v>
      </c>
      <c r="N97" s="2"/>
      <c r="O97" s="2"/>
    </row>
    <row r="98" spans="1:15" ht="17.100000000000001" customHeight="1" x14ac:dyDescent="0.2">
      <c r="A98" s="26" t="s">
        <v>199</v>
      </c>
      <c r="B98" s="7" t="s">
        <v>200</v>
      </c>
      <c r="C98" s="18">
        <v>650</v>
      </c>
      <c r="D98" s="18"/>
      <c r="E98" s="18"/>
      <c r="F98" s="18"/>
      <c r="G98" s="18"/>
      <c r="H98" s="18"/>
      <c r="I98" s="18"/>
      <c r="J98" s="18">
        <f t="shared" si="11"/>
        <v>650</v>
      </c>
      <c r="K98" s="18">
        <v>0</v>
      </c>
      <c r="L98" s="18">
        <f t="shared" si="14"/>
        <v>650</v>
      </c>
      <c r="M98" s="21">
        <f t="shared" si="13"/>
        <v>0</v>
      </c>
      <c r="N98" s="2"/>
      <c r="O98" s="2"/>
    </row>
    <row r="99" spans="1:15" ht="17.100000000000001" customHeight="1" x14ac:dyDescent="0.2">
      <c r="A99" s="26" t="s">
        <v>201</v>
      </c>
      <c r="B99" s="7" t="s">
        <v>202</v>
      </c>
      <c r="C99" s="18">
        <v>6900</v>
      </c>
      <c r="D99" s="18"/>
      <c r="E99" s="18"/>
      <c r="F99" s="18"/>
      <c r="G99" s="18"/>
      <c r="H99" s="18"/>
      <c r="I99" s="18"/>
      <c r="J99" s="18">
        <f t="shared" si="11"/>
        <v>6900</v>
      </c>
      <c r="K99" s="18">
        <v>0</v>
      </c>
      <c r="L99" s="18">
        <f t="shared" si="14"/>
        <v>6900</v>
      </c>
      <c r="M99" s="21">
        <f t="shared" si="13"/>
        <v>0</v>
      </c>
      <c r="N99" s="2"/>
      <c r="O99" s="2"/>
    </row>
    <row r="100" spans="1:15" ht="17.100000000000001" customHeight="1" x14ac:dyDescent="0.2">
      <c r="A100" s="26" t="s">
        <v>203</v>
      </c>
      <c r="B100" s="7" t="s">
        <v>82</v>
      </c>
      <c r="C100" s="18">
        <v>85470</v>
      </c>
      <c r="D100" s="18"/>
      <c r="E100" s="18"/>
      <c r="F100" s="18"/>
      <c r="G100" s="18"/>
      <c r="H100" s="18"/>
      <c r="I100" s="18"/>
      <c r="J100" s="18">
        <f t="shared" si="11"/>
        <v>85470</v>
      </c>
      <c r="K100" s="18">
        <v>496.14</v>
      </c>
      <c r="L100" s="18">
        <f t="shared" si="14"/>
        <v>84973.86</v>
      </c>
      <c r="M100" s="21">
        <f t="shared" si="13"/>
        <v>1.9595634171383006E-3</v>
      </c>
      <c r="N100" s="2"/>
      <c r="O100" s="2"/>
    </row>
    <row r="101" spans="1:15" ht="17.100000000000001" customHeight="1" x14ac:dyDescent="0.2">
      <c r="A101" s="26" t="s">
        <v>204</v>
      </c>
      <c r="B101" s="7" t="s">
        <v>83</v>
      </c>
      <c r="C101" s="18">
        <v>15600</v>
      </c>
      <c r="D101" s="18"/>
      <c r="E101" s="18"/>
      <c r="F101" s="18"/>
      <c r="G101" s="18"/>
      <c r="H101" s="18"/>
      <c r="I101" s="18"/>
      <c r="J101" s="18">
        <f t="shared" si="11"/>
        <v>15600</v>
      </c>
      <c r="K101" s="18">
        <v>198.74</v>
      </c>
      <c r="L101" s="18">
        <f t="shared" si="14"/>
        <v>15401.26</v>
      </c>
      <c r="M101" s="21">
        <f t="shared" si="13"/>
        <v>7.8494705833447389E-4</v>
      </c>
      <c r="N101" s="2"/>
      <c r="O101" s="2"/>
    </row>
    <row r="102" spans="1:15" ht="17.100000000000001" customHeight="1" x14ac:dyDescent="0.2">
      <c r="A102" s="26"/>
      <c r="B102" s="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21"/>
      <c r="N102" s="2"/>
      <c r="O102" s="2"/>
    </row>
    <row r="103" spans="1:15" ht="17.100000000000001" customHeight="1" x14ac:dyDescent="0.25">
      <c r="A103" s="27">
        <v>3</v>
      </c>
      <c r="B103" s="17" t="s">
        <v>84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21"/>
      <c r="N103" s="2"/>
      <c r="O103" s="2"/>
    </row>
    <row r="104" spans="1:15" ht="17.100000000000001" customHeight="1" x14ac:dyDescent="0.2">
      <c r="A104" s="26" t="s">
        <v>205</v>
      </c>
      <c r="B104" s="7" t="s">
        <v>85</v>
      </c>
      <c r="C104" s="18">
        <v>162200</v>
      </c>
      <c r="D104" s="18"/>
      <c r="E104" s="18"/>
      <c r="F104" s="18"/>
      <c r="G104" s="18"/>
      <c r="H104" s="18"/>
      <c r="I104" s="18"/>
      <c r="J104" s="18">
        <f t="shared" ref="J104:J118" si="15">C104+D104-E104+F104-G104+H104-I104</f>
        <v>162200</v>
      </c>
      <c r="K104" s="18">
        <v>0</v>
      </c>
      <c r="L104" s="18">
        <f t="shared" si="14"/>
        <v>162200</v>
      </c>
      <c r="M104" s="21">
        <f t="shared" ref="M104:M109" si="16">K104/$K$120</f>
        <v>0</v>
      </c>
      <c r="N104" s="2"/>
      <c r="O104" s="2"/>
    </row>
    <row r="105" spans="1:15" ht="17.100000000000001" hidden="1" customHeight="1" x14ac:dyDescent="0.2">
      <c r="A105" s="26" t="s">
        <v>206</v>
      </c>
      <c r="B105" s="7" t="s">
        <v>207</v>
      </c>
      <c r="C105" s="18">
        <v>0</v>
      </c>
      <c r="D105" s="18"/>
      <c r="E105" s="18"/>
      <c r="F105" s="18"/>
      <c r="G105" s="18"/>
      <c r="H105" s="18"/>
      <c r="I105" s="18"/>
      <c r="J105" s="18">
        <f t="shared" si="15"/>
        <v>0</v>
      </c>
      <c r="K105" s="18"/>
      <c r="L105" s="18">
        <f t="shared" si="14"/>
        <v>0</v>
      </c>
      <c r="M105" s="21">
        <f t="shared" si="16"/>
        <v>0</v>
      </c>
      <c r="N105" s="2"/>
      <c r="O105" s="2"/>
    </row>
    <row r="106" spans="1:15" ht="17.100000000000001" customHeight="1" x14ac:dyDescent="0.2">
      <c r="A106" s="26" t="s">
        <v>208</v>
      </c>
      <c r="B106" s="7" t="s">
        <v>209</v>
      </c>
      <c r="C106" s="18">
        <v>1856690.49</v>
      </c>
      <c r="D106" s="18"/>
      <c r="E106" s="18"/>
      <c r="F106" s="18"/>
      <c r="G106" s="18"/>
      <c r="H106" s="18"/>
      <c r="I106" s="18"/>
      <c r="J106" s="18">
        <f t="shared" si="15"/>
        <v>1856690.49</v>
      </c>
      <c r="K106" s="18">
        <v>0</v>
      </c>
      <c r="L106" s="18">
        <f t="shared" si="14"/>
        <v>1856690.49</v>
      </c>
      <c r="M106" s="21">
        <f t="shared" si="16"/>
        <v>0</v>
      </c>
      <c r="N106" s="2"/>
      <c r="O106" s="2"/>
    </row>
    <row r="107" spans="1:15" ht="17.100000000000001" customHeight="1" x14ac:dyDescent="0.2">
      <c r="A107" s="26" t="s">
        <v>210</v>
      </c>
      <c r="B107" s="7" t="s">
        <v>211</v>
      </c>
      <c r="C107" s="18">
        <v>200000</v>
      </c>
      <c r="D107" s="18"/>
      <c r="E107" s="18"/>
      <c r="F107" s="18"/>
      <c r="G107" s="18"/>
      <c r="H107" s="18"/>
      <c r="I107" s="18"/>
      <c r="J107" s="18">
        <f t="shared" si="15"/>
        <v>200000</v>
      </c>
      <c r="K107" s="18">
        <v>0</v>
      </c>
      <c r="L107" s="18">
        <f t="shared" si="14"/>
        <v>200000</v>
      </c>
      <c r="M107" s="21">
        <f t="shared" si="16"/>
        <v>0</v>
      </c>
      <c r="N107" s="2"/>
      <c r="O107" s="2"/>
    </row>
    <row r="108" spans="1:15" ht="17.100000000000001" customHeight="1" x14ac:dyDescent="0.2">
      <c r="A108" s="26" t="s">
        <v>212</v>
      </c>
      <c r="B108" s="7" t="s">
        <v>213</v>
      </c>
      <c r="C108" s="18">
        <v>500</v>
      </c>
      <c r="D108" s="18"/>
      <c r="E108" s="18"/>
      <c r="F108" s="18"/>
      <c r="G108" s="18"/>
      <c r="H108" s="18"/>
      <c r="I108" s="18"/>
      <c r="J108" s="18">
        <f t="shared" si="15"/>
        <v>500</v>
      </c>
      <c r="K108" s="18">
        <v>0</v>
      </c>
      <c r="L108" s="18">
        <f t="shared" si="14"/>
        <v>500</v>
      </c>
      <c r="M108" s="21">
        <f t="shared" si="16"/>
        <v>0</v>
      </c>
      <c r="N108" s="2"/>
      <c r="O108" s="2"/>
    </row>
    <row r="109" spans="1:15" ht="17.100000000000001" customHeight="1" x14ac:dyDescent="0.2">
      <c r="A109" s="26" t="s">
        <v>214</v>
      </c>
      <c r="B109" s="7" t="s">
        <v>215</v>
      </c>
      <c r="C109" s="18">
        <v>17500</v>
      </c>
      <c r="D109" s="18"/>
      <c r="E109" s="18"/>
      <c r="F109" s="18"/>
      <c r="G109" s="18"/>
      <c r="H109" s="18"/>
      <c r="I109" s="18"/>
      <c r="J109" s="18">
        <f t="shared" si="15"/>
        <v>17500</v>
      </c>
      <c r="K109" s="18">
        <v>380</v>
      </c>
      <c r="L109" s="18">
        <f t="shared" si="14"/>
        <v>17120</v>
      </c>
      <c r="M109" s="21">
        <f t="shared" si="16"/>
        <v>1.5008547960506191E-3</v>
      </c>
      <c r="N109" s="2"/>
      <c r="O109" s="2"/>
    </row>
    <row r="110" spans="1:15" ht="17.100000000000001" customHeight="1" x14ac:dyDescent="0.2">
      <c r="A110" s="26" t="s">
        <v>216</v>
      </c>
      <c r="B110" s="7" t="s">
        <v>217</v>
      </c>
      <c r="C110" s="18">
        <v>20500</v>
      </c>
      <c r="D110" s="18"/>
      <c r="E110" s="18"/>
      <c r="F110" s="18"/>
      <c r="G110" s="18"/>
      <c r="H110" s="18"/>
      <c r="I110" s="18"/>
      <c r="J110" s="18">
        <f t="shared" si="15"/>
        <v>20500</v>
      </c>
      <c r="K110" s="18">
        <v>0</v>
      </c>
      <c r="L110" s="18">
        <f t="shared" si="14"/>
        <v>20500</v>
      </c>
      <c r="M110" s="21"/>
      <c r="N110" s="2"/>
      <c r="O110" s="2"/>
    </row>
    <row r="111" spans="1:15" ht="17.100000000000001" customHeight="1" x14ac:dyDescent="0.2">
      <c r="A111" s="26" t="s">
        <v>218</v>
      </c>
      <c r="B111" s="7" t="s">
        <v>219</v>
      </c>
      <c r="C111" s="18">
        <v>2784974.71</v>
      </c>
      <c r="D111" s="18"/>
      <c r="E111" s="18"/>
      <c r="F111" s="18"/>
      <c r="G111" s="18"/>
      <c r="H111" s="18"/>
      <c r="I111" s="18"/>
      <c r="J111" s="18">
        <f t="shared" si="15"/>
        <v>2784974.71</v>
      </c>
      <c r="K111" s="18">
        <v>0</v>
      </c>
      <c r="L111" s="18">
        <f t="shared" si="14"/>
        <v>2784974.71</v>
      </c>
      <c r="M111" s="21"/>
      <c r="N111" s="2"/>
      <c r="O111" s="2"/>
    </row>
    <row r="112" spans="1:15" ht="17.100000000000001" customHeight="1" x14ac:dyDescent="0.2">
      <c r="A112" s="26"/>
      <c r="B112" s="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21"/>
      <c r="N112" s="2"/>
      <c r="O112" s="2"/>
    </row>
    <row r="113" spans="1:15" ht="17.100000000000001" customHeight="1" x14ac:dyDescent="0.25">
      <c r="A113" s="27">
        <v>4</v>
      </c>
      <c r="B113" s="17" t="s">
        <v>86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21"/>
      <c r="N113" s="2"/>
      <c r="O113" s="2"/>
    </row>
    <row r="114" spans="1:15" ht="17.100000000000001" customHeight="1" x14ac:dyDescent="0.2">
      <c r="A114" s="26" t="s">
        <v>220</v>
      </c>
      <c r="B114" s="7" t="s">
        <v>221</v>
      </c>
      <c r="C114" s="18">
        <v>20750</v>
      </c>
      <c r="D114" s="18"/>
      <c r="E114" s="18"/>
      <c r="F114" s="18"/>
      <c r="G114" s="18"/>
      <c r="H114" s="18"/>
      <c r="I114" s="18"/>
      <c r="J114" s="18">
        <f t="shared" si="15"/>
        <v>20750</v>
      </c>
      <c r="K114" s="18">
        <v>0</v>
      </c>
      <c r="L114" s="18">
        <f t="shared" si="14"/>
        <v>20750</v>
      </c>
      <c r="M114" s="21">
        <f>K114/$K$120</f>
        <v>0</v>
      </c>
      <c r="N114" s="2"/>
      <c r="O114" s="2"/>
    </row>
    <row r="115" spans="1:15" ht="17.100000000000001" customHeight="1" x14ac:dyDescent="0.2">
      <c r="A115" s="26" t="s">
        <v>222</v>
      </c>
      <c r="B115" s="7" t="s">
        <v>223</v>
      </c>
      <c r="C115" s="18">
        <v>7600</v>
      </c>
      <c r="D115" s="18"/>
      <c r="E115" s="18"/>
      <c r="F115" s="18"/>
      <c r="G115" s="18"/>
      <c r="H115" s="18"/>
      <c r="I115" s="18"/>
      <c r="J115" s="18">
        <f t="shared" si="15"/>
        <v>7600</v>
      </c>
      <c r="K115" s="18">
        <v>0</v>
      </c>
      <c r="L115" s="18">
        <f t="shared" si="14"/>
        <v>7600</v>
      </c>
      <c r="M115" s="21">
        <f>K115/$K$120</f>
        <v>0</v>
      </c>
      <c r="N115" s="2"/>
      <c r="O115" s="2"/>
    </row>
    <row r="116" spans="1:15" ht="17.100000000000001" customHeight="1" x14ac:dyDescent="0.2">
      <c r="A116" s="26" t="s">
        <v>224</v>
      </c>
      <c r="B116" s="7" t="s">
        <v>240</v>
      </c>
      <c r="C116" s="18">
        <v>9600</v>
      </c>
      <c r="D116" s="18"/>
      <c r="E116" s="18"/>
      <c r="F116" s="18"/>
      <c r="G116" s="18"/>
      <c r="H116" s="18"/>
      <c r="I116" s="18"/>
      <c r="J116" s="18">
        <f t="shared" si="15"/>
        <v>9600</v>
      </c>
      <c r="K116" s="18">
        <v>2000</v>
      </c>
      <c r="L116" s="18">
        <f t="shared" si="14"/>
        <v>7600</v>
      </c>
      <c r="M116" s="21">
        <f>K116/$K$120</f>
        <v>7.8992357686874688E-3</v>
      </c>
      <c r="N116" s="2"/>
      <c r="O116" s="2"/>
    </row>
    <row r="117" spans="1:15" s="2" customFormat="1" ht="17.100000000000001" customHeight="1" x14ac:dyDescent="0.2">
      <c r="A117" s="26" t="s">
        <v>226</v>
      </c>
      <c r="B117" s="7" t="s">
        <v>227</v>
      </c>
      <c r="C117" s="32">
        <v>0</v>
      </c>
      <c r="D117" s="32"/>
      <c r="E117" s="32"/>
      <c r="F117" s="32"/>
      <c r="G117" s="32"/>
      <c r="H117" s="32"/>
      <c r="I117" s="32"/>
      <c r="J117" s="32">
        <f t="shared" si="15"/>
        <v>0</v>
      </c>
      <c r="K117" s="32">
        <v>0</v>
      </c>
      <c r="L117" s="32">
        <f t="shared" si="14"/>
        <v>0</v>
      </c>
      <c r="M117" s="21">
        <f>K117/$K$120</f>
        <v>0</v>
      </c>
    </row>
    <row r="118" spans="1:15" s="2" customFormat="1" ht="17.100000000000001" customHeight="1" x14ac:dyDescent="0.2">
      <c r="A118" s="26" t="s">
        <v>228</v>
      </c>
      <c r="B118" s="7" t="s">
        <v>87</v>
      </c>
      <c r="C118" s="32">
        <v>11050</v>
      </c>
      <c r="D118" s="32"/>
      <c r="E118" s="32"/>
      <c r="F118" s="32"/>
      <c r="G118" s="32"/>
      <c r="H118" s="32"/>
      <c r="I118" s="32"/>
      <c r="J118" s="32">
        <f t="shared" si="15"/>
        <v>11050</v>
      </c>
      <c r="K118" s="32">
        <v>0</v>
      </c>
      <c r="L118" s="32">
        <f t="shared" si="14"/>
        <v>11050</v>
      </c>
      <c r="M118" s="21">
        <f>K118/$K$120</f>
        <v>0</v>
      </c>
    </row>
    <row r="119" spans="1:15" s="2" customFormat="1" ht="17.100000000000001" customHeight="1" thickBot="1" x14ac:dyDescent="0.25">
      <c r="A119" s="28"/>
      <c r="B119" s="1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2"/>
    </row>
    <row r="120" spans="1:15" s="2" customFormat="1" ht="17.100000000000001" customHeight="1" thickBot="1" x14ac:dyDescent="0.3">
      <c r="A120" s="13"/>
      <c r="B120" s="13" t="s">
        <v>88</v>
      </c>
      <c r="C120" s="19">
        <f>SUM(C25:C119)</f>
        <v>10804273.189999999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f>SUM(J25:J119)</f>
        <v>10804273.189999999</v>
      </c>
      <c r="K120" s="19">
        <f t="shared" ref="K120:L120" si="17">SUM(K25:K119)</f>
        <v>253189.05</v>
      </c>
      <c r="L120" s="19">
        <f t="shared" si="17"/>
        <v>10551084.140000001</v>
      </c>
      <c r="M120" s="50">
        <v>1</v>
      </c>
    </row>
    <row r="121" spans="1:15" s="2" customFormat="1" ht="15" x14ac:dyDescent="0.2">
      <c r="C121" s="34"/>
      <c r="D121" s="35"/>
      <c r="E121" s="35"/>
      <c r="F121" s="35"/>
      <c r="G121" s="35"/>
      <c r="H121" s="35"/>
      <c r="I121" s="35"/>
      <c r="J121" s="34"/>
      <c r="K121" s="63"/>
      <c r="L121" s="35"/>
    </row>
    <row r="122" spans="1:15" s="2" customFormat="1" ht="15.75" thickBot="1" x14ac:dyDescent="0.25">
      <c r="C122" s="35"/>
      <c r="D122" s="35"/>
      <c r="E122" s="35"/>
      <c r="F122" s="35"/>
      <c r="G122" s="35"/>
      <c r="H122" s="35"/>
      <c r="I122" s="35"/>
      <c r="J122" s="62"/>
      <c r="K122" s="62"/>
      <c r="L122" s="35"/>
    </row>
    <row r="123" spans="1:15" s="2" customFormat="1" ht="15.75" x14ac:dyDescent="0.25">
      <c r="A123" s="36" t="s">
        <v>89</v>
      </c>
      <c r="B123" s="37"/>
      <c r="C123" s="38"/>
      <c r="D123" s="35"/>
      <c r="E123" s="35"/>
      <c r="F123" s="35"/>
      <c r="G123" s="35"/>
      <c r="H123" s="35"/>
      <c r="I123" s="35"/>
      <c r="J123" s="35"/>
      <c r="K123" s="62"/>
      <c r="L123" s="35"/>
    </row>
    <row r="124" spans="1:15" s="2" customFormat="1" ht="15.75" x14ac:dyDescent="0.25">
      <c r="A124" s="39" t="s">
        <v>3</v>
      </c>
      <c r="B124" s="40"/>
      <c r="C124" s="41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5" s="2" customFormat="1" ht="8.1" customHeight="1" thickBot="1" x14ac:dyDescent="0.25">
      <c r="A125" s="42"/>
      <c r="B125" s="43"/>
      <c r="C125" s="44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5" s="2" customFormat="1" ht="8.1" customHeight="1" x14ac:dyDescent="0.2">
      <c r="A126" s="45"/>
      <c r="B126" s="46"/>
      <c r="C126" s="47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5" s="2" customFormat="1" ht="15.95" customHeight="1" x14ac:dyDescent="0.2">
      <c r="A127" s="56" t="s">
        <v>90</v>
      </c>
      <c r="B127" s="30"/>
      <c r="C127" s="48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5" s="2" customFormat="1" ht="15.95" customHeight="1" x14ac:dyDescent="0.2">
      <c r="A128" s="57" t="s">
        <v>229</v>
      </c>
      <c r="B128" s="30"/>
      <c r="C128" s="61">
        <f>198363.1+404138.05</f>
        <v>602501.15</v>
      </c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s="2" customFormat="1" ht="15.95" customHeight="1" x14ac:dyDescent="0.2">
      <c r="A129" s="57" t="s">
        <v>91</v>
      </c>
      <c r="B129" s="30"/>
      <c r="C129" s="51">
        <f>+K20</f>
        <v>826726.46</v>
      </c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s="2" customFormat="1" ht="15.95" customHeight="1" x14ac:dyDescent="0.2">
      <c r="A130" s="57" t="s">
        <v>92</v>
      </c>
      <c r="B130" s="30"/>
      <c r="C130" s="53">
        <f>-K120</f>
        <v>-253189.05</v>
      </c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2" customFormat="1" ht="15.95" customHeight="1" x14ac:dyDescent="0.25">
      <c r="A131" s="58" t="s">
        <v>93</v>
      </c>
      <c r="B131" s="31"/>
      <c r="C131" s="52">
        <f>SUM(C128:C130)</f>
        <v>1176038.5599999998</v>
      </c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s="2" customFormat="1" ht="8.1" customHeight="1" x14ac:dyDescent="0.25">
      <c r="A132" s="58"/>
      <c r="B132" s="31"/>
      <c r="C132" s="52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s="2" customFormat="1" ht="15.95" customHeight="1" x14ac:dyDescent="0.2">
      <c r="A133" s="56" t="s">
        <v>94</v>
      </c>
      <c r="B133" s="30"/>
      <c r="C133" s="51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s="2" customFormat="1" ht="15.95" customHeight="1" x14ac:dyDescent="0.2">
      <c r="A134" s="57" t="s">
        <v>233</v>
      </c>
      <c r="B134" s="30"/>
      <c r="C134" s="51">
        <v>-3977.24</v>
      </c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s="2" customFormat="1" ht="15.95" customHeight="1" x14ac:dyDescent="0.2">
      <c r="A135" s="57" t="s">
        <v>251</v>
      </c>
      <c r="B135" s="30"/>
      <c r="C135" s="51">
        <v>-219.61</v>
      </c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 s="2" customFormat="1" ht="15.95" customHeight="1" x14ac:dyDescent="0.2">
      <c r="A136" s="57" t="s">
        <v>95</v>
      </c>
      <c r="B136" s="30"/>
      <c r="C136" s="51">
        <v>3052.44</v>
      </c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s="2" customFormat="1" ht="15.95" customHeight="1" x14ac:dyDescent="0.2">
      <c r="A137" s="57" t="s">
        <v>96</v>
      </c>
      <c r="B137" s="30"/>
      <c r="C137" s="51">
        <v>219.61</v>
      </c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s="2" customFormat="1" ht="15.95" customHeight="1" x14ac:dyDescent="0.2">
      <c r="A138" s="57" t="s">
        <v>97</v>
      </c>
      <c r="B138" s="30"/>
      <c r="C138" s="51">
        <v>2684.7</v>
      </c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s="2" customFormat="1" ht="5.0999999999999996" customHeight="1" x14ac:dyDescent="0.2">
      <c r="A139" s="57"/>
      <c r="B139" s="30"/>
      <c r="C139" s="53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 s="2" customFormat="1" ht="15.75" x14ac:dyDescent="0.25">
      <c r="A140" s="58"/>
      <c r="B140" s="31"/>
      <c r="C140" s="52">
        <f>SUM(C134:C139)</f>
        <v>1759.9000000000005</v>
      </c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s="2" customFormat="1" ht="5.0999999999999996" customHeight="1" x14ac:dyDescent="0.25">
      <c r="A141" s="58"/>
      <c r="B141" s="31"/>
      <c r="C141" s="54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s="2" customFormat="1" ht="8.1" customHeight="1" x14ac:dyDescent="0.25">
      <c r="A142" s="58"/>
      <c r="B142" s="31"/>
      <c r="C142" s="52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 s="2" customFormat="1" ht="16.5" thickBot="1" x14ac:dyDescent="0.3">
      <c r="A143" s="59" t="s">
        <v>248</v>
      </c>
      <c r="B143" s="49"/>
      <c r="C143" s="55">
        <f>C131+C140</f>
        <v>1177798.4599999997</v>
      </c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s="2" customFormat="1" ht="15" x14ac:dyDescent="0.2">
      <c r="C144" s="62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2:9" s="2" customFormat="1" ht="15" x14ac:dyDescent="0.2">
      <c r="C145" s="35"/>
    </row>
    <row r="146" spans="2:9" s="2" customFormat="1" ht="15" x14ac:dyDescent="0.2">
      <c r="B146" s="2" t="s">
        <v>249</v>
      </c>
    </row>
    <row r="147" spans="2:9" s="2" customFormat="1" ht="15" x14ac:dyDescent="0.2"/>
    <row r="148" spans="2:9" s="2" customFormat="1" ht="15" x14ac:dyDescent="0.2"/>
    <row r="149" spans="2:9" s="2" customFormat="1" ht="15" x14ac:dyDescent="0.2"/>
    <row r="150" spans="2:9" s="2" customFormat="1" ht="15" x14ac:dyDescent="0.2"/>
    <row r="151" spans="2:9" s="2" customFormat="1" ht="15" x14ac:dyDescent="0.2"/>
    <row r="152" spans="2:9" s="2" customFormat="1" ht="15" x14ac:dyDescent="0.2"/>
    <row r="153" spans="2:9" s="2" customFormat="1" ht="15" x14ac:dyDescent="0.2">
      <c r="B153" s="2" t="s">
        <v>98</v>
      </c>
      <c r="F153" s="2" t="s">
        <v>99</v>
      </c>
      <c r="I153" s="60" t="s">
        <v>104</v>
      </c>
    </row>
    <row r="154" spans="2:9" s="2" customFormat="1" ht="15" x14ac:dyDescent="0.2">
      <c r="B154" s="2" t="s">
        <v>100</v>
      </c>
      <c r="F154" s="2" t="s">
        <v>101</v>
      </c>
      <c r="I154" s="60" t="s">
        <v>105</v>
      </c>
    </row>
    <row r="155" spans="2:9" s="2" customFormat="1" ht="15" x14ac:dyDescent="0.2"/>
  </sheetData>
  <mergeCells count="2">
    <mergeCell ref="B6:B7"/>
    <mergeCell ref="K6:K7"/>
  </mergeCells>
  <pageMargins left="0" right="0" top="0.78740157480314965" bottom="0.78740157480314965" header="0.39370078740157483" footer="0.39370078740157483"/>
  <pageSetup scale="61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showGridLines="0" topLeftCell="A119" zoomScale="85" zoomScaleNormal="85" workbookViewId="0">
      <selection activeCell="C135" sqref="C135"/>
    </sheetView>
  </sheetViews>
  <sheetFormatPr baseColWidth="10" defaultRowHeight="14.25" x14ac:dyDescent="0.2"/>
  <cols>
    <col min="1" max="1" width="11.7109375" style="66" customWidth="1"/>
    <col min="2" max="2" width="48.7109375" style="66" customWidth="1"/>
    <col min="3" max="3" width="16.28515625" style="66" customWidth="1"/>
    <col min="4" max="9" width="15.7109375" style="66" customWidth="1"/>
    <col min="10" max="10" width="16.28515625" style="66" customWidth="1"/>
    <col min="11" max="11" width="15.7109375" style="66" customWidth="1"/>
    <col min="12" max="12" width="16.28515625" style="66" customWidth="1"/>
    <col min="13" max="13" width="10.7109375" style="66" customWidth="1"/>
    <col min="14" max="14" width="7" style="66" customWidth="1"/>
    <col min="15" max="15" width="18.7109375" style="66" customWidth="1"/>
    <col min="16" max="16384" width="11.42578125" style="66"/>
  </cols>
  <sheetData>
    <row r="1" spans="1:15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</row>
    <row r="2" spans="1:15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</row>
    <row r="3" spans="1:15" ht="15.75" x14ac:dyDescent="0.25">
      <c r="A3" s="64" t="s">
        <v>250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</row>
    <row r="4" spans="1:15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5"/>
    </row>
    <row r="5" spans="1:15" ht="15.7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6.5" thickBot="1" x14ac:dyDescent="0.3">
      <c r="A6" s="67" t="s">
        <v>102</v>
      </c>
      <c r="B6" s="181" t="s">
        <v>5</v>
      </c>
      <c r="C6" s="68" t="s">
        <v>6</v>
      </c>
      <c r="D6" s="69" t="s">
        <v>7</v>
      </c>
      <c r="E6" s="69"/>
      <c r="F6" s="69" t="s">
        <v>8</v>
      </c>
      <c r="G6" s="69"/>
      <c r="H6" s="69" t="s">
        <v>9</v>
      </c>
      <c r="I6" s="69"/>
      <c r="J6" s="67" t="s">
        <v>6</v>
      </c>
      <c r="K6" s="183" t="s">
        <v>10</v>
      </c>
      <c r="L6" s="67" t="s">
        <v>11</v>
      </c>
      <c r="M6" s="68" t="s">
        <v>12</v>
      </c>
      <c r="N6" s="65"/>
      <c r="O6" s="65"/>
    </row>
    <row r="7" spans="1:15" ht="16.5" thickBot="1" x14ac:dyDescent="0.3">
      <c r="A7" s="70" t="s">
        <v>103</v>
      </c>
      <c r="B7" s="182"/>
      <c r="C7" s="70" t="s">
        <v>13</v>
      </c>
      <c r="D7" s="70" t="s">
        <v>14</v>
      </c>
      <c r="E7" s="70" t="s">
        <v>15</v>
      </c>
      <c r="F7" s="70" t="s">
        <v>14</v>
      </c>
      <c r="G7" s="70" t="s">
        <v>15</v>
      </c>
      <c r="H7" s="70" t="s">
        <v>14</v>
      </c>
      <c r="I7" s="70" t="s">
        <v>15</v>
      </c>
      <c r="J7" s="70" t="s">
        <v>16</v>
      </c>
      <c r="K7" s="184"/>
      <c r="L7" s="70" t="s">
        <v>17</v>
      </c>
      <c r="M7" s="71" t="s">
        <v>18</v>
      </c>
      <c r="N7" s="65"/>
      <c r="O7" s="65"/>
    </row>
    <row r="8" spans="1:15" s="113" customFormat="1" ht="8.1" customHeight="1" x14ac:dyDescent="0.2">
      <c r="A8" s="91"/>
      <c r="B8" s="9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91"/>
    </row>
    <row r="9" spans="1:15" s="113" customFormat="1" ht="17.100000000000001" customHeight="1" x14ac:dyDescent="0.25">
      <c r="A9" s="73"/>
      <c r="B9" s="74" t="s">
        <v>19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3"/>
    </row>
    <row r="10" spans="1:15" s="65" customFormat="1" ht="17.100000000000001" customHeight="1" x14ac:dyDescent="0.25">
      <c r="A10" s="72"/>
      <c r="B10" s="76" t="s">
        <v>20</v>
      </c>
      <c r="C10" s="77">
        <f>198363.1+404138.05</f>
        <v>602501.15</v>
      </c>
      <c r="D10" s="77"/>
      <c r="E10" s="77">
        <v>4196.8500000000004</v>
      </c>
      <c r="F10" s="77"/>
      <c r="G10" s="77"/>
      <c r="H10" s="77"/>
      <c r="I10" s="77"/>
      <c r="J10" s="77">
        <f>C10+D10-E10+F10-G10+H10-I10</f>
        <v>598304.30000000005</v>
      </c>
      <c r="K10" s="77">
        <v>0</v>
      </c>
      <c r="L10" s="77">
        <f>J10-K10</f>
        <v>598304.30000000005</v>
      </c>
      <c r="M10" s="78">
        <f>K10/$K$20</f>
        <v>0</v>
      </c>
    </row>
    <row r="11" spans="1:15" s="65" customFormat="1" ht="17.100000000000001" customHeight="1" x14ac:dyDescent="0.2">
      <c r="A11" s="72" t="s">
        <v>241</v>
      </c>
      <c r="B11" s="72" t="s">
        <v>244</v>
      </c>
      <c r="C11" s="77">
        <v>15000</v>
      </c>
      <c r="D11" s="77">
        <v>13000</v>
      </c>
      <c r="E11" s="77"/>
      <c r="F11" s="77"/>
      <c r="G11" s="77"/>
      <c r="H11" s="77"/>
      <c r="I11" s="77"/>
      <c r="J11" s="77">
        <f>C11+D11-E11+F11-G11+H11-I11</f>
        <v>28000</v>
      </c>
      <c r="K11" s="77">
        <f>18632+5000+3400</f>
        <v>27032</v>
      </c>
      <c r="L11" s="77">
        <f>J11-K11</f>
        <v>968</v>
      </c>
      <c r="M11" s="78">
        <f>K11/$K$20</f>
        <v>2.4982765662397443E-2</v>
      </c>
    </row>
    <row r="12" spans="1:15" s="65" customFormat="1" ht="17.100000000000001" customHeight="1" x14ac:dyDescent="0.2">
      <c r="A12" s="72" t="s">
        <v>242</v>
      </c>
      <c r="B12" s="72" t="s">
        <v>245</v>
      </c>
      <c r="C12" s="77">
        <v>65000</v>
      </c>
      <c r="D12" s="77"/>
      <c r="E12" s="77"/>
      <c r="F12" s="77"/>
      <c r="G12" s="77"/>
      <c r="H12" s="77"/>
      <c r="I12" s="77"/>
      <c r="J12" s="77">
        <f t="shared" ref="J12:J19" si="0">C12+D12-E12+F12-G12+H12-I12</f>
        <v>65000</v>
      </c>
      <c r="K12" s="77">
        <f>534+323+1088</f>
        <v>1945</v>
      </c>
      <c r="L12" s="77">
        <f t="shared" ref="L12:L14" si="1">J12-K12</f>
        <v>63055</v>
      </c>
      <c r="M12" s="78">
        <f t="shared" ref="M12:M19" si="2">K12/$K$20</f>
        <v>1.7975539809619349E-3</v>
      </c>
    </row>
    <row r="13" spans="1:15" s="65" customFormat="1" ht="17.100000000000001" customHeight="1" x14ac:dyDescent="0.2">
      <c r="A13" s="79" t="s">
        <v>243</v>
      </c>
      <c r="B13" s="72" t="s">
        <v>246</v>
      </c>
      <c r="C13" s="77">
        <v>3500</v>
      </c>
      <c r="D13" s="77"/>
      <c r="E13" s="77"/>
      <c r="F13" s="77"/>
      <c r="G13" s="77"/>
      <c r="H13" s="77"/>
      <c r="I13" s="77"/>
      <c r="J13" s="77">
        <f t="shared" si="0"/>
        <v>3500</v>
      </c>
      <c r="K13" s="77">
        <v>0</v>
      </c>
      <c r="L13" s="77">
        <f t="shared" si="1"/>
        <v>3500</v>
      </c>
      <c r="M13" s="78">
        <f t="shared" si="2"/>
        <v>0</v>
      </c>
    </row>
    <row r="14" spans="1:15" s="65" customFormat="1" ht="17.100000000000001" customHeight="1" x14ac:dyDescent="0.2">
      <c r="A14" s="79">
        <v>15.1</v>
      </c>
      <c r="B14" s="72" t="s">
        <v>247</v>
      </c>
      <c r="C14" s="77">
        <v>3000</v>
      </c>
      <c r="D14" s="77"/>
      <c r="E14" s="77"/>
      <c r="F14" s="77"/>
      <c r="G14" s="77"/>
      <c r="H14" s="77"/>
      <c r="I14" s="77"/>
      <c r="J14" s="77">
        <f t="shared" si="0"/>
        <v>3000</v>
      </c>
      <c r="K14" s="77">
        <f>124.33+112.98+208.84</f>
        <v>446.15</v>
      </c>
      <c r="L14" s="77">
        <f t="shared" si="1"/>
        <v>2553.85</v>
      </c>
      <c r="M14" s="78">
        <f t="shared" si="2"/>
        <v>4.1232838488748956E-4</v>
      </c>
    </row>
    <row r="15" spans="1:15" s="65" customFormat="1" ht="17.100000000000001" customHeight="1" x14ac:dyDescent="0.2">
      <c r="A15" s="72" t="s">
        <v>24</v>
      </c>
      <c r="B15" s="72" t="s">
        <v>25</v>
      </c>
      <c r="C15" s="77">
        <v>2745062.93</v>
      </c>
      <c r="D15" s="77">
        <v>95966.17</v>
      </c>
      <c r="E15" s="77"/>
      <c r="F15" s="77"/>
      <c r="G15" s="77"/>
      <c r="H15" s="77"/>
      <c r="I15" s="77"/>
      <c r="J15" s="77">
        <f t="shared" si="0"/>
        <v>2841029.1</v>
      </c>
      <c r="K15" s="77">
        <f>217424.77+238817.38+250602.62</f>
        <v>706844.77</v>
      </c>
      <c r="L15" s="77">
        <f>J15-K15</f>
        <v>2134184.33</v>
      </c>
      <c r="M15" s="78">
        <f t="shared" si="2"/>
        <v>0.65326047827024336</v>
      </c>
    </row>
    <row r="16" spans="1:15" s="65" customFormat="1" ht="17.100000000000001" customHeight="1" x14ac:dyDescent="0.2">
      <c r="A16" s="72" t="s">
        <v>26</v>
      </c>
      <c r="B16" s="72" t="s">
        <v>27</v>
      </c>
      <c r="C16" s="77">
        <v>4934974.71</v>
      </c>
      <c r="D16" s="77"/>
      <c r="E16" s="77"/>
      <c r="F16" s="77"/>
      <c r="G16" s="77"/>
      <c r="H16" s="77"/>
      <c r="I16" s="77"/>
      <c r="J16" s="77">
        <f t="shared" si="0"/>
        <v>4934974.71</v>
      </c>
      <c r="K16" s="77">
        <v>0</v>
      </c>
      <c r="L16" s="77">
        <f t="shared" ref="L16:L19" si="3">J16-K16</f>
        <v>4934974.71</v>
      </c>
      <c r="M16" s="78">
        <f t="shared" si="2"/>
        <v>0</v>
      </c>
    </row>
    <row r="17" spans="1:13" s="65" customFormat="1" ht="17.100000000000001" customHeight="1" x14ac:dyDescent="0.2">
      <c r="A17" s="72" t="s">
        <v>28</v>
      </c>
      <c r="B17" s="72" t="s">
        <v>29</v>
      </c>
      <c r="C17" s="77">
        <v>1290000</v>
      </c>
      <c r="D17" s="77"/>
      <c r="E17" s="77">
        <v>8059.23</v>
      </c>
      <c r="F17" s="77"/>
      <c r="G17" s="77"/>
      <c r="H17" s="77"/>
      <c r="I17" s="77"/>
      <c r="J17" s="77">
        <f t="shared" si="0"/>
        <v>1281940.77</v>
      </c>
      <c r="K17" s="77">
        <f>345758</f>
        <v>345758</v>
      </c>
      <c r="L17" s="77">
        <f t="shared" si="3"/>
        <v>936182.77</v>
      </c>
      <c r="M17" s="78">
        <f t="shared" si="2"/>
        <v>0.31954687370150986</v>
      </c>
    </row>
    <row r="18" spans="1:13" s="65" customFormat="1" ht="17.100000000000001" customHeight="1" x14ac:dyDescent="0.2">
      <c r="A18" s="72" t="s">
        <v>30</v>
      </c>
      <c r="B18" s="72" t="s">
        <v>31</v>
      </c>
      <c r="C18" s="77">
        <v>20000</v>
      </c>
      <c r="D18" s="77"/>
      <c r="E18" s="77"/>
      <c r="F18" s="77"/>
      <c r="G18" s="77"/>
      <c r="H18" s="77"/>
      <c r="I18" s="77"/>
      <c r="J18" s="77">
        <f t="shared" si="0"/>
        <v>20000</v>
      </c>
      <c r="K18" s="77">
        <v>0</v>
      </c>
      <c r="L18" s="77">
        <f t="shared" si="3"/>
        <v>20000</v>
      </c>
      <c r="M18" s="78">
        <f t="shared" si="2"/>
        <v>0</v>
      </c>
    </row>
    <row r="19" spans="1:13" s="65" customFormat="1" ht="17.100000000000001" customHeight="1" thickBot="1" x14ac:dyDescent="0.25">
      <c r="A19" s="72"/>
      <c r="B19" s="72" t="s">
        <v>32</v>
      </c>
      <c r="C19" s="77">
        <f>850000+14137.2+261097.2</f>
        <v>1125234.3999999999</v>
      </c>
      <c r="D19" s="77"/>
      <c r="E19" s="77"/>
      <c r="F19" s="77"/>
      <c r="G19" s="77"/>
      <c r="H19" s="77"/>
      <c r="I19" s="77"/>
      <c r="J19" s="77">
        <f t="shared" si="0"/>
        <v>1125234.3999999999</v>
      </c>
      <c r="K19" s="77">
        <v>0</v>
      </c>
      <c r="L19" s="77">
        <f t="shared" si="3"/>
        <v>1125234.3999999999</v>
      </c>
      <c r="M19" s="78">
        <f t="shared" si="2"/>
        <v>0</v>
      </c>
    </row>
    <row r="20" spans="1:13" s="65" customFormat="1" ht="17.100000000000001" customHeight="1" thickBot="1" x14ac:dyDescent="0.3">
      <c r="A20" s="80"/>
      <c r="B20" s="80" t="s">
        <v>33</v>
      </c>
      <c r="C20" s="81">
        <f>SUM(C10:C19)</f>
        <v>10804273.189999999</v>
      </c>
      <c r="D20" s="81">
        <f t="shared" ref="D20:E20" si="4">SUM(D10:D19)</f>
        <v>108966.17</v>
      </c>
      <c r="E20" s="81">
        <f t="shared" si="4"/>
        <v>12256.08</v>
      </c>
      <c r="F20" s="81">
        <f t="shared" ref="F20:K20" si="5">SUM(F11:F18)</f>
        <v>0</v>
      </c>
      <c r="G20" s="81">
        <f t="shared" si="5"/>
        <v>0</v>
      </c>
      <c r="H20" s="81">
        <f t="shared" si="5"/>
        <v>0</v>
      </c>
      <c r="I20" s="81">
        <f t="shared" si="5"/>
        <v>0</v>
      </c>
      <c r="J20" s="81">
        <f>SUM(J10:J19)</f>
        <v>10900983.279999999</v>
      </c>
      <c r="K20" s="81">
        <f t="shared" si="5"/>
        <v>1082025.92</v>
      </c>
      <c r="L20" s="81">
        <f>SUM(L10:L19)</f>
        <v>9818957.3599999994</v>
      </c>
      <c r="M20" s="82">
        <v>0</v>
      </c>
    </row>
    <row r="21" spans="1:13" s="113" customFormat="1" ht="8.1" customHeight="1" x14ac:dyDescent="0.2">
      <c r="A21" s="126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8"/>
    </row>
    <row r="22" spans="1:13" s="113" customFormat="1" ht="17.100000000000001" customHeight="1" x14ac:dyDescent="0.25">
      <c r="A22" s="129" t="s">
        <v>4</v>
      </c>
      <c r="B22" s="74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3" s="65" customFormat="1" ht="17.100000000000001" customHeight="1" x14ac:dyDescent="0.25">
      <c r="A23" s="76"/>
      <c r="B23" s="8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s="65" customFormat="1" ht="17.100000000000001" customHeight="1" x14ac:dyDescent="0.25">
      <c r="A24" s="86">
        <v>0</v>
      </c>
      <c r="B24" s="87" t="s">
        <v>35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s="65" customFormat="1" ht="17.100000000000001" customHeight="1" x14ac:dyDescent="0.2">
      <c r="A25" s="88" t="s">
        <v>36</v>
      </c>
      <c r="B25" s="72" t="s">
        <v>106</v>
      </c>
      <c r="C25" s="77">
        <v>773194.52</v>
      </c>
      <c r="D25" s="77"/>
      <c r="E25" s="77"/>
      <c r="F25" s="77"/>
      <c r="G25" s="77"/>
      <c r="H25" s="77"/>
      <c r="I25" s="77"/>
      <c r="J25" s="77">
        <f t="shared" ref="J25:J36" si="6">C25+D25-E25+F25-G25+H25-I25</f>
        <v>773194.52</v>
      </c>
      <c r="K25" s="77">
        <v>178428.63</v>
      </c>
      <c r="L25" s="77">
        <f t="shared" ref="L25:L88" si="7">J25-K25</f>
        <v>594765.89</v>
      </c>
      <c r="M25" s="78">
        <f t="shared" ref="M25:M36" si="8">K25/$K$123</f>
        <v>0.24912025027541593</v>
      </c>
    </row>
    <row r="26" spans="1:13" s="65" customFormat="1" ht="17.100000000000001" customHeight="1" x14ac:dyDescent="0.2">
      <c r="A26" s="88" t="s">
        <v>37</v>
      </c>
      <c r="B26" s="72" t="s">
        <v>107</v>
      </c>
      <c r="C26" s="77">
        <v>4500</v>
      </c>
      <c r="D26" s="77"/>
      <c r="E26" s="77"/>
      <c r="F26" s="77"/>
      <c r="G26" s="77"/>
      <c r="H26" s="77"/>
      <c r="I26" s="77"/>
      <c r="J26" s="77">
        <f t="shared" si="6"/>
        <v>4500</v>
      </c>
      <c r="K26" s="77">
        <v>1125</v>
      </c>
      <c r="L26" s="77">
        <f t="shared" si="7"/>
        <v>3375</v>
      </c>
      <c r="M26" s="78">
        <f t="shared" si="8"/>
        <v>1.5707136324470065E-3</v>
      </c>
    </row>
    <row r="27" spans="1:13" s="65" customFormat="1" ht="17.100000000000001" customHeight="1" x14ac:dyDescent="0.2">
      <c r="A27" s="88" t="s">
        <v>38</v>
      </c>
      <c r="B27" s="72" t="s">
        <v>108</v>
      </c>
      <c r="C27" s="77">
        <v>140850</v>
      </c>
      <c r="D27" s="77"/>
      <c r="E27" s="77"/>
      <c r="F27" s="77"/>
      <c r="G27" s="77"/>
      <c r="H27" s="77"/>
      <c r="I27" s="77"/>
      <c r="J27" s="77">
        <f t="shared" si="6"/>
        <v>140850</v>
      </c>
      <c r="K27" s="77">
        <v>25500</v>
      </c>
      <c r="L27" s="77">
        <f t="shared" si="7"/>
        <v>115350</v>
      </c>
      <c r="M27" s="78">
        <f t="shared" si="8"/>
        <v>3.5602842335465477E-2</v>
      </c>
    </row>
    <row r="28" spans="1:13" s="65" customFormat="1" ht="17.100000000000001" hidden="1" customHeight="1" x14ac:dyDescent="0.2">
      <c r="A28" s="88" t="s">
        <v>39</v>
      </c>
      <c r="B28" s="72" t="s">
        <v>109</v>
      </c>
      <c r="C28" s="77">
        <v>0</v>
      </c>
      <c r="D28" s="77"/>
      <c r="E28" s="77"/>
      <c r="F28" s="77"/>
      <c r="G28" s="77"/>
      <c r="H28" s="77"/>
      <c r="I28" s="77"/>
      <c r="J28" s="77">
        <f t="shared" si="6"/>
        <v>0</v>
      </c>
      <c r="K28" s="77"/>
      <c r="L28" s="77">
        <f t="shared" si="7"/>
        <v>0</v>
      </c>
      <c r="M28" s="78">
        <f t="shared" si="8"/>
        <v>0</v>
      </c>
    </row>
    <row r="29" spans="1:13" s="65" customFormat="1" ht="17.100000000000001" hidden="1" customHeight="1" x14ac:dyDescent="0.2">
      <c r="A29" s="88" t="s">
        <v>40</v>
      </c>
      <c r="B29" s="72" t="s">
        <v>109</v>
      </c>
      <c r="C29" s="77">
        <v>0</v>
      </c>
      <c r="D29" s="77"/>
      <c r="E29" s="77"/>
      <c r="F29" s="77"/>
      <c r="G29" s="77"/>
      <c r="H29" s="77"/>
      <c r="I29" s="77"/>
      <c r="J29" s="77">
        <f t="shared" si="6"/>
        <v>0</v>
      </c>
      <c r="K29" s="77">
        <v>0</v>
      </c>
      <c r="L29" s="77">
        <f t="shared" si="7"/>
        <v>0</v>
      </c>
      <c r="M29" s="78">
        <f t="shared" si="8"/>
        <v>0</v>
      </c>
    </row>
    <row r="30" spans="1:13" s="65" customFormat="1" ht="17.100000000000001" customHeight="1" x14ac:dyDescent="0.2">
      <c r="A30" s="88" t="s">
        <v>41</v>
      </c>
      <c r="B30" s="72" t="s">
        <v>110</v>
      </c>
      <c r="C30" s="77">
        <v>15400</v>
      </c>
      <c r="D30" s="77"/>
      <c r="E30" s="77"/>
      <c r="F30" s="77"/>
      <c r="G30" s="77"/>
      <c r="H30" s="77"/>
      <c r="I30" s="77"/>
      <c r="J30" s="77">
        <f t="shared" si="6"/>
        <v>15400</v>
      </c>
      <c r="K30" s="77">
        <v>0</v>
      </c>
      <c r="L30" s="77">
        <f t="shared" si="7"/>
        <v>15400</v>
      </c>
      <c r="M30" s="78">
        <f t="shared" si="8"/>
        <v>0</v>
      </c>
    </row>
    <row r="31" spans="1:13" s="65" customFormat="1" ht="17.100000000000001" customHeight="1" x14ac:dyDescent="0.2">
      <c r="A31" s="88" t="s">
        <v>42</v>
      </c>
      <c r="B31" s="72" t="s">
        <v>111</v>
      </c>
      <c r="C31" s="77">
        <v>42629.35</v>
      </c>
      <c r="D31" s="77"/>
      <c r="E31" s="77"/>
      <c r="F31" s="77"/>
      <c r="G31" s="77"/>
      <c r="H31" s="77"/>
      <c r="I31" s="77"/>
      <c r="J31" s="77">
        <f t="shared" si="6"/>
        <v>42629.35</v>
      </c>
      <c r="K31" s="77">
        <v>8834.7200000000012</v>
      </c>
      <c r="L31" s="77">
        <f t="shared" si="7"/>
        <v>33794.629999999997</v>
      </c>
      <c r="M31" s="78">
        <f t="shared" si="8"/>
        <v>1.2334946793646417E-2</v>
      </c>
    </row>
    <row r="32" spans="1:13" s="65" customFormat="1" ht="17.100000000000001" customHeight="1" x14ac:dyDescent="0.2">
      <c r="A32" s="88" t="s">
        <v>43</v>
      </c>
      <c r="B32" s="72" t="s">
        <v>234</v>
      </c>
      <c r="C32" s="77">
        <v>89741</v>
      </c>
      <c r="D32" s="77"/>
      <c r="E32" s="77"/>
      <c r="F32" s="77"/>
      <c r="G32" s="77"/>
      <c r="H32" s="77"/>
      <c r="I32" s="77"/>
      <c r="J32" s="77">
        <f t="shared" si="6"/>
        <v>89741</v>
      </c>
      <c r="K32" s="77">
        <v>13155.92</v>
      </c>
      <c r="L32" s="77">
        <f t="shared" si="7"/>
        <v>76585.08</v>
      </c>
      <c r="M32" s="78">
        <f t="shared" si="8"/>
        <v>1.836816257011753E-2</v>
      </c>
    </row>
    <row r="33" spans="1:15" ht="17.100000000000001" customHeight="1" x14ac:dyDescent="0.2">
      <c r="A33" s="88" t="s">
        <v>44</v>
      </c>
      <c r="B33" s="72" t="s">
        <v>235</v>
      </c>
      <c r="C33" s="77">
        <v>7478.416666666667</v>
      </c>
      <c r="D33" s="77"/>
      <c r="E33" s="77"/>
      <c r="F33" s="77"/>
      <c r="G33" s="77"/>
      <c r="H33" s="77"/>
      <c r="I33" s="77"/>
      <c r="J33" s="77">
        <f t="shared" si="6"/>
        <v>7478.416666666667</v>
      </c>
      <c r="K33" s="77">
        <v>1232.98</v>
      </c>
      <c r="L33" s="77">
        <f t="shared" si="7"/>
        <v>6245.4366666666665</v>
      </c>
      <c r="M33" s="78">
        <f t="shared" si="8"/>
        <v>1.7214742173640089E-3</v>
      </c>
      <c r="N33" s="65"/>
      <c r="O33" s="65"/>
    </row>
    <row r="34" spans="1:15" ht="17.100000000000001" customHeight="1" x14ac:dyDescent="0.2">
      <c r="A34" s="88" t="s">
        <v>45</v>
      </c>
      <c r="B34" s="72" t="s">
        <v>46</v>
      </c>
      <c r="C34" s="77">
        <v>64432.876666666663</v>
      </c>
      <c r="D34" s="77"/>
      <c r="E34" s="77"/>
      <c r="F34" s="77"/>
      <c r="G34" s="77"/>
      <c r="H34" s="77"/>
      <c r="I34" s="77"/>
      <c r="J34" s="77">
        <f t="shared" si="6"/>
        <v>64432.876666666663</v>
      </c>
      <c r="K34" s="77">
        <v>0</v>
      </c>
      <c r="L34" s="77">
        <f t="shared" si="7"/>
        <v>64432.876666666663</v>
      </c>
      <c r="M34" s="78">
        <f t="shared" si="8"/>
        <v>0</v>
      </c>
      <c r="N34" s="65"/>
      <c r="O34" s="65"/>
    </row>
    <row r="35" spans="1:15" ht="17.100000000000001" customHeight="1" x14ac:dyDescent="0.2">
      <c r="A35" s="88" t="s">
        <v>47</v>
      </c>
      <c r="B35" s="72" t="s">
        <v>114</v>
      </c>
      <c r="C35" s="77">
        <v>64432.876666666663</v>
      </c>
      <c r="D35" s="77"/>
      <c r="E35" s="77"/>
      <c r="F35" s="77"/>
      <c r="G35" s="77"/>
      <c r="H35" s="77"/>
      <c r="I35" s="77"/>
      <c r="J35" s="77">
        <f t="shared" si="6"/>
        <v>64432.876666666663</v>
      </c>
      <c r="K35" s="77">
        <v>0</v>
      </c>
      <c r="L35" s="77">
        <f t="shared" si="7"/>
        <v>64432.876666666663</v>
      </c>
      <c r="M35" s="78">
        <f t="shared" si="8"/>
        <v>0</v>
      </c>
      <c r="N35" s="65"/>
      <c r="O35" s="65"/>
    </row>
    <row r="36" spans="1:15" ht="17.100000000000001" customHeight="1" x14ac:dyDescent="0.2">
      <c r="A36" s="88" t="s">
        <v>48</v>
      </c>
      <c r="B36" s="72" t="s">
        <v>49</v>
      </c>
      <c r="C36" s="77">
        <v>4000</v>
      </c>
      <c r="D36" s="77"/>
      <c r="E36" s="77"/>
      <c r="F36" s="77"/>
      <c r="G36" s="77"/>
      <c r="H36" s="77"/>
      <c r="I36" s="77"/>
      <c r="J36" s="77">
        <f t="shared" si="6"/>
        <v>4000</v>
      </c>
      <c r="K36" s="77">
        <v>0</v>
      </c>
      <c r="L36" s="77">
        <f t="shared" si="7"/>
        <v>4000</v>
      </c>
      <c r="M36" s="78">
        <f t="shared" si="8"/>
        <v>0</v>
      </c>
      <c r="N36" s="65"/>
      <c r="O36" s="65"/>
    </row>
    <row r="37" spans="1:15" ht="17.100000000000001" customHeight="1" x14ac:dyDescent="0.2">
      <c r="A37" s="88"/>
      <c r="B37" s="7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65"/>
      <c r="O37" s="65"/>
    </row>
    <row r="38" spans="1:15" ht="17.100000000000001" customHeight="1" x14ac:dyDescent="0.25">
      <c r="A38" s="86">
        <v>1</v>
      </c>
      <c r="B38" s="87" t="s">
        <v>50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65"/>
      <c r="O38" s="65"/>
    </row>
    <row r="39" spans="1:15" ht="17.100000000000001" customHeight="1" x14ac:dyDescent="0.2">
      <c r="A39" s="88" t="s">
        <v>115</v>
      </c>
      <c r="B39" s="72" t="s">
        <v>51</v>
      </c>
      <c r="C39" s="77">
        <v>11723.320000000002</v>
      </c>
      <c r="D39" s="77"/>
      <c r="E39" s="77"/>
      <c r="F39" s="77"/>
      <c r="G39" s="77"/>
      <c r="H39" s="77"/>
      <c r="I39" s="77"/>
      <c r="J39" s="77">
        <f t="shared" ref="J39:J104" si="9">C39+D39-E39+F39-G39+H39-I39</f>
        <v>11723.320000000002</v>
      </c>
      <c r="K39" s="77">
        <v>1367.21</v>
      </c>
      <c r="L39" s="77">
        <f t="shared" si="7"/>
        <v>10356.11</v>
      </c>
      <c r="M39" s="78">
        <f t="shared" ref="M39:M72" si="10">K39/$K$123</f>
        <v>1.9088847870381083E-3</v>
      </c>
      <c r="N39" s="65"/>
      <c r="O39" s="65"/>
    </row>
    <row r="40" spans="1:15" ht="17.100000000000001" customHeight="1" x14ac:dyDescent="0.2">
      <c r="A40" s="88" t="s">
        <v>116</v>
      </c>
      <c r="B40" s="72" t="s">
        <v>52</v>
      </c>
      <c r="C40" s="77">
        <v>24780</v>
      </c>
      <c r="D40" s="77"/>
      <c r="E40" s="77"/>
      <c r="F40" s="77"/>
      <c r="G40" s="77"/>
      <c r="H40" s="77"/>
      <c r="I40" s="77"/>
      <c r="J40" s="77">
        <f t="shared" si="9"/>
        <v>24780</v>
      </c>
      <c r="K40" s="77">
        <v>6918</v>
      </c>
      <c r="L40" s="77">
        <f t="shared" si="7"/>
        <v>17862</v>
      </c>
      <c r="M40" s="78">
        <f t="shared" si="10"/>
        <v>9.6588416971274578E-3</v>
      </c>
      <c r="N40" s="65"/>
      <c r="O40" s="65"/>
    </row>
    <row r="41" spans="1:15" ht="17.100000000000001" customHeight="1" x14ac:dyDescent="0.2">
      <c r="A41" s="88" t="s">
        <v>117</v>
      </c>
      <c r="B41" s="72" t="s">
        <v>53</v>
      </c>
      <c r="C41" s="77">
        <v>2500</v>
      </c>
      <c r="D41" s="77"/>
      <c r="E41" s="77"/>
      <c r="F41" s="77"/>
      <c r="G41" s="77"/>
      <c r="H41" s="77"/>
      <c r="I41" s="77"/>
      <c r="J41" s="77">
        <f t="shared" si="9"/>
        <v>2500</v>
      </c>
      <c r="K41" s="77">
        <v>0</v>
      </c>
      <c r="L41" s="77">
        <f t="shared" si="7"/>
        <v>2500</v>
      </c>
      <c r="M41" s="78">
        <f t="shared" si="10"/>
        <v>0</v>
      </c>
      <c r="N41" s="65"/>
      <c r="O41" s="65"/>
    </row>
    <row r="42" spans="1:15" ht="17.100000000000001" customHeight="1" x14ac:dyDescent="0.2">
      <c r="A42" s="88" t="s">
        <v>118</v>
      </c>
      <c r="B42" s="72" t="s">
        <v>54</v>
      </c>
      <c r="C42" s="77">
        <v>4464</v>
      </c>
      <c r="D42" s="77">
        <v>1200</v>
      </c>
      <c r="E42" s="77"/>
      <c r="F42" s="77"/>
      <c r="G42" s="77"/>
      <c r="H42" s="77"/>
      <c r="I42" s="77"/>
      <c r="J42" s="77">
        <f t="shared" si="9"/>
        <v>5664</v>
      </c>
      <c r="K42" s="77">
        <v>4079.04</v>
      </c>
      <c r="L42" s="77">
        <f t="shared" si="7"/>
        <v>1584.96</v>
      </c>
      <c r="M42" s="78">
        <f t="shared" si="10"/>
        <v>5.6951144313747886E-3</v>
      </c>
      <c r="N42" s="65"/>
      <c r="O42" s="65"/>
    </row>
    <row r="43" spans="1:15" ht="17.100000000000001" customHeight="1" x14ac:dyDescent="0.2">
      <c r="A43" s="88" t="s">
        <v>119</v>
      </c>
      <c r="B43" s="72" t="s">
        <v>120</v>
      </c>
      <c r="C43" s="77">
        <v>12200</v>
      </c>
      <c r="D43" s="77"/>
      <c r="E43" s="77"/>
      <c r="F43" s="77"/>
      <c r="G43" s="77"/>
      <c r="H43" s="77"/>
      <c r="I43" s="77"/>
      <c r="J43" s="77">
        <f t="shared" si="9"/>
        <v>12200</v>
      </c>
      <c r="K43" s="77">
        <v>7221</v>
      </c>
      <c r="L43" s="77">
        <f t="shared" si="7"/>
        <v>4979</v>
      </c>
      <c r="M43" s="78">
        <f t="shared" si="10"/>
        <v>1.0081887235466519E-2</v>
      </c>
      <c r="N43" s="65"/>
      <c r="O43" s="65"/>
    </row>
    <row r="44" spans="1:15" ht="17.100000000000001" customHeight="1" x14ac:dyDescent="0.2">
      <c r="A44" s="88" t="s">
        <v>121</v>
      </c>
      <c r="B44" s="72" t="s">
        <v>122</v>
      </c>
      <c r="C44" s="77">
        <v>1218400</v>
      </c>
      <c r="D44" s="77">
        <v>64062.78</v>
      </c>
      <c r="E44" s="77"/>
      <c r="F44" s="77"/>
      <c r="G44" s="77"/>
      <c r="H44" s="77"/>
      <c r="I44" s="77"/>
      <c r="J44" s="77">
        <f t="shared" si="9"/>
        <v>1282462.78</v>
      </c>
      <c r="K44" s="77">
        <v>322245</v>
      </c>
      <c r="L44" s="77">
        <f t="shared" si="7"/>
        <v>960217.78</v>
      </c>
      <c r="M44" s="78">
        <f t="shared" si="10"/>
        <v>0.44991521287812053</v>
      </c>
      <c r="N44" s="65"/>
      <c r="O44" s="65"/>
    </row>
    <row r="45" spans="1:15" ht="17.100000000000001" hidden="1" customHeight="1" x14ac:dyDescent="0.2">
      <c r="A45" s="88" t="s">
        <v>123</v>
      </c>
      <c r="B45" s="72" t="s">
        <v>124</v>
      </c>
      <c r="C45" s="77">
        <v>0</v>
      </c>
      <c r="D45" s="77"/>
      <c r="E45" s="77"/>
      <c r="F45" s="77"/>
      <c r="G45" s="77"/>
      <c r="H45" s="77"/>
      <c r="I45" s="77"/>
      <c r="J45" s="77">
        <f t="shared" si="9"/>
        <v>0</v>
      </c>
      <c r="K45" s="77">
        <v>0</v>
      </c>
      <c r="L45" s="77">
        <f t="shared" si="7"/>
        <v>0</v>
      </c>
      <c r="M45" s="78">
        <f t="shared" si="10"/>
        <v>0</v>
      </c>
      <c r="N45" s="65"/>
      <c r="O45" s="65"/>
    </row>
    <row r="46" spans="1:15" ht="17.100000000000001" hidden="1" customHeight="1" x14ac:dyDescent="0.2">
      <c r="A46" s="88" t="s">
        <v>125</v>
      </c>
      <c r="B46" s="72" t="s">
        <v>126</v>
      </c>
      <c r="C46" s="77">
        <v>0</v>
      </c>
      <c r="D46" s="77"/>
      <c r="E46" s="77"/>
      <c r="F46" s="77"/>
      <c r="G46" s="77"/>
      <c r="H46" s="77"/>
      <c r="I46" s="77"/>
      <c r="J46" s="77">
        <f t="shared" si="9"/>
        <v>0</v>
      </c>
      <c r="K46" s="77">
        <v>0</v>
      </c>
      <c r="L46" s="77">
        <f t="shared" si="7"/>
        <v>0</v>
      </c>
      <c r="M46" s="78">
        <f t="shared" si="10"/>
        <v>0</v>
      </c>
      <c r="N46" s="65"/>
      <c r="O46" s="65"/>
    </row>
    <row r="47" spans="1:15" ht="17.100000000000001" customHeight="1" x14ac:dyDescent="0.2">
      <c r="A47" s="88" t="s">
        <v>127</v>
      </c>
      <c r="B47" s="72" t="s">
        <v>55</v>
      </c>
      <c r="C47" s="77">
        <v>104664</v>
      </c>
      <c r="D47" s="77">
        <v>13644</v>
      </c>
      <c r="E47" s="77"/>
      <c r="F47" s="77"/>
      <c r="G47" s="77"/>
      <c r="H47" s="77"/>
      <c r="I47" s="77"/>
      <c r="J47" s="77">
        <f t="shared" si="9"/>
        <v>118308</v>
      </c>
      <c r="K47" s="77">
        <v>2637.2599999999998</v>
      </c>
      <c r="L47" s="77">
        <f t="shared" si="7"/>
        <v>115670.74</v>
      </c>
      <c r="M47" s="78">
        <f t="shared" si="10"/>
        <v>3.6821157638286151E-3</v>
      </c>
      <c r="N47" s="65"/>
      <c r="O47" s="65"/>
    </row>
    <row r="48" spans="1:15" ht="17.100000000000001" customHeight="1" x14ac:dyDescent="0.2">
      <c r="A48" s="88" t="s">
        <v>128</v>
      </c>
      <c r="B48" s="72" t="s">
        <v>237</v>
      </c>
      <c r="C48" s="77">
        <v>459374.84</v>
      </c>
      <c r="D48" s="77">
        <v>11548.31</v>
      </c>
      <c r="E48" s="77"/>
      <c r="F48" s="77"/>
      <c r="G48" s="77"/>
      <c r="H48" s="77"/>
      <c r="I48" s="77"/>
      <c r="J48" s="77">
        <f t="shared" si="9"/>
        <v>470923.15</v>
      </c>
      <c r="K48" s="77">
        <v>43015.729999999996</v>
      </c>
      <c r="L48" s="77">
        <f t="shared" si="7"/>
        <v>427907.42000000004</v>
      </c>
      <c r="M48" s="78">
        <f t="shared" si="10"/>
        <v>6.0058127573919699E-2</v>
      </c>
      <c r="N48" s="65"/>
      <c r="O48" s="65"/>
    </row>
    <row r="49" spans="1:15" ht="17.100000000000001" customHeight="1" x14ac:dyDescent="0.2">
      <c r="A49" s="88" t="s">
        <v>130</v>
      </c>
      <c r="B49" s="72" t="s">
        <v>56</v>
      </c>
      <c r="C49" s="77">
        <v>9000</v>
      </c>
      <c r="D49" s="77"/>
      <c r="E49" s="77"/>
      <c r="F49" s="77"/>
      <c r="G49" s="77"/>
      <c r="H49" s="77"/>
      <c r="I49" s="77"/>
      <c r="J49" s="77">
        <f t="shared" si="9"/>
        <v>9000</v>
      </c>
      <c r="K49" s="77">
        <v>0</v>
      </c>
      <c r="L49" s="77">
        <f t="shared" si="7"/>
        <v>9000</v>
      </c>
      <c r="M49" s="78">
        <f t="shared" si="10"/>
        <v>0</v>
      </c>
      <c r="N49" s="65"/>
      <c r="O49" s="65"/>
    </row>
    <row r="50" spans="1:15" ht="17.100000000000001" customHeight="1" x14ac:dyDescent="0.2">
      <c r="A50" s="88" t="s">
        <v>131</v>
      </c>
      <c r="B50" s="72" t="s">
        <v>57</v>
      </c>
      <c r="C50" s="77">
        <v>25000</v>
      </c>
      <c r="D50" s="77"/>
      <c r="E50" s="77"/>
      <c r="F50" s="77"/>
      <c r="G50" s="77"/>
      <c r="H50" s="77"/>
      <c r="I50" s="77"/>
      <c r="J50" s="77">
        <f t="shared" si="9"/>
        <v>25000</v>
      </c>
      <c r="K50" s="77">
        <v>0</v>
      </c>
      <c r="L50" s="77">
        <f t="shared" si="7"/>
        <v>25000</v>
      </c>
      <c r="M50" s="78">
        <f t="shared" si="10"/>
        <v>0</v>
      </c>
      <c r="N50" s="65"/>
      <c r="O50" s="65"/>
    </row>
    <row r="51" spans="1:15" ht="17.100000000000001" customHeight="1" x14ac:dyDescent="0.2">
      <c r="A51" s="88" t="s">
        <v>132</v>
      </c>
      <c r="B51" s="72" t="s">
        <v>133</v>
      </c>
      <c r="C51" s="77">
        <v>70560</v>
      </c>
      <c r="D51" s="77"/>
      <c r="E51" s="77"/>
      <c r="F51" s="77"/>
      <c r="G51" s="77"/>
      <c r="H51" s="77"/>
      <c r="I51" s="77"/>
      <c r="J51" s="77">
        <f t="shared" si="9"/>
        <v>70560</v>
      </c>
      <c r="K51" s="77">
        <v>0</v>
      </c>
      <c r="L51" s="77">
        <f t="shared" si="7"/>
        <v>70560</v>
      </c>
      <c r="M51" s="78">
        <f t="shared" si="10"/>
        <v>0</v>
      </c>
      <c r="N51" s="65"/>
      <c r="O51" s="65"/>
    </row>
    <row r="52" spans="1:15" ht="17.100000000000001" customHeight="1" x14ac:dyDescent="0.2">
      <c r="A52" s="88" t="s">
        <v>134</v>
      </c>
      <c r="B52" s="72" t="s">
        <v>58</v>
      </c>
      <c r="C52" s="77">
        <v>35200</v>
      </c>
      <c r="D52" s="77"/>
      <c r="E52" s="77"/>
      <c r="F52" s="77"/>
      <c r="G52" s="77"/>
      <c r="H52" s="77"/>
      <c r="I52" s="77"/>
      <c r="J52" s="77">
        <f t="shared" si="9"/>
        <v>35200</v>
      </c>
      <c r="K52" s="77">
        <v>0</v>
      </c>
      <c r="L52" s="77">
        <f t="shared" si="7"/>
        <v>35200</v>
      </c>
      <c r="M52" s="78">
        <f t="shared" si="10"/>
        <v>0</v>
      </c>
      <c r="N52" s="65"/>
      <c r="O52" s="65"/>
    </row>
    <row r="53" spans="1:15" ht="17.100000000000001" customHeight="1" x14ac:dyDescent="0.2">
      <c r="A53" s="88" t="s">
        <v>135</v>
      </c>
      <c r="B53" s="72" t="s">
        <v>59</v>
      </c>
      <c r="C53" s="77">
        <v>6550</v>
      </c>
      <c r="D53" s="77"/>
      <c r="E53" s="77"/>
      <c r="F53" s="77"/>
      <c r="G53" s="77"/>
      <c r="H53" s="77"/>
      <c r="I53" s="77"/>
      <c r="J53" s="77">
        <f t="shared" si="9"/>
        <v>6550</v>
      </c>
      <c r="K53" s="77">
        <v>0</v>
      </c>
      <c r="L53" s="77">
        <f t="shared" si="7"/>
        <v>6550</v>
      </c>
      <c r="M53" s="78">
        <f t="shared" si="10"/>
        <v>0</v>
      </c>
      <c r="N53" s="65"/>
      <c r="O53" s="65"/>
    </row>
    <row r="54" spans="1:15" ht="17.100000000000001" customHeight="1" x14ac:dyDescent="0.2">
      <c r="A54" s="88" t="s">
        <v>136</v>
      </c>
      <c r="B54" s="72" t="s">
        <v>137</v>
      </c>
      <c r="C54" s="77">
        <v>2000</v>
      </c>
      <c r="D54" s="77"/>
      <c r="E54" s="77"/>
      <c r="F54" s="77"/>
      <c r="G54" s="77"/>
      <c r="H54" s="77"/>
      <c r="I54" s="77"/>
      <c r="J54" s="77">
        <f t="shared" si="9"/>
        <v>2000</v>
      </c>
      <c r="K54" s="77">
        <v>0</v>
      </c>
      <c r="L54" s="77">
        <f t="shared" si="7"/>
        <v>2000</v>
      </c>
      <c r="M54" s="78">
        <f t="shared" si="10"/>
        <v>0</v>
      </c>
      <c r="N54" s="65"/>
      <c r="O54" s="65"/>
    </row>
    <row r="55" spans="1:15" ht="17.100000000000001" customHeight="1" x14ac:dyDescent="0.2">
      <c r="A55" s="88" t="s">
        <v>138</v>
      </c>
      <c r="B55" s="72" t="s">
        <v>139</v>
      </c>
      <c r="C55" s="77">
        <v>10000</v>
      </c>
      <c r="D55" s="77"/>
      <c r="E55" s="77"/>
      <c r="F55" s="77"/>
      <c r="G55" s="77"/>
      <c r="H55" s="77"/>
      <c r="I55" s="77"/>
      <c r="J55" s="77">
        <f t="shared" si="9"/>
        <v>10000</v>
      </c>
      <c r="K55" s="77">
        <v>0</v>
      </c>
      <c r="L55" s="77">
        <f t="shared" si="7"/>
        <v>10000</v>
      </c>
      <c r="M55" s="78">
        <f t="shared" si="10"/>
        <v>0</v>
      </c>
      <c r="N55" s="65"/>
      <c r="O55" s="65"/>
    </row>
    <row r="56" spans="1:15" ht="17.100000000000001" customHeight="1" x14ac:dyDescent="0.2">
      <c r="A56" s="88" t="s">
        <v>140</v>
      </c>
      <c r="B56" s="72" t="s">
        <v>141</v>
      </c>
      <c r="C56" s="77">
        <v>6900</v>
      </c>
      <c r="D56" s="77"/>
      <c r="E56" s="77"/>
      <c r="F56" s="77"/>
      <c r="G56" s="77"/>
      <c r="H56" s="77"/>
      <c r="I56" s="77"/>
      <c r="J56" s="77">
        <f t="shared" si="9"/>
        <v>6900</v>
      </c>
      <c r="K56" s="77">
        <v>262.51</v>
      </c>
      <c r="L56" s="77">
        <f t="shared" si="7"/>
        <v>6637.49</v>
      </c>
      <c r="M56" s="78">
        <f t="shared" si="10"/>
        <v>3.6651380946992328E-4</v>
      </c>
      <c r="N56" s="65"/>
      <c r="O56" s="65"/>
    </row>
    <row r="57" spans="1:15" ht="17.100000000000001" customHeight="1" x14ac:dyDescent="0.2">
      <c r="A57" s="88" t="s">
        <v>142</v>
      </c>
      <c r="B57" s="72" t="s">
        <v>143</v>
      </c>
      <c r="C57" s="77">
        <v>3000</v>
      </c>
      <c r="D57" s="77"/>
      <c r="E57" s="77"/>
      <c r="F57" s="77"/>
      <c r="G57" s="77"/>
      <c r="H57" s="77"/>
      <c r="I57" s="77"/>
      <c r="J57" s="77">
        <f t="shared" si="9"/>
        <v>3000</v>
      </c>
      <c r="K57" s="77">
        <v>1100</v>
      </c>
      <c r="L57" s="77">
        <f t="shared" si="7"/>
        <v>1900</v>
      </c>
      <c r="M57" s="78">
        <f t="shared" si="10"/>
        <v>1.5358088850592952E-3</v>
      </c>
      <c r="N57" s="65"/>
      <c r="O57" s="65"/>
    </row>
    <row r="58" spans="1:15" ht="17.100000000000001" customHeight="1" x14ac:dyDescent="0.2">
      <c r="A58" s="88" t="s">
        <v>144</v>
      </c>
      <c r="B58" s="72" t="s">
        <v>145</v>
      </c>
      <c r="C58" s="77">
        <v>5000</v>
      </c>
      <c r="D58" s="77">
        <v>250</v>
      </c>
      <c r="E58" s="77"/>
      <c r="F58" s="77"/>
      <c r="G58" s="77"/>
      <c r="H58" s="77"/>
      <c r="I58" s="77"/>
      <c r="J58" s="77">
        <f t="shared" si="9"/>
        <v>5250</v>
      </c>
      <c r="K58" s="77">
        <v>0</v>
      </c>
      <c r="L58" s="77">
        <f t="shared" si="7"/>
        <v>5250</v>
      </c>
      <c r="M58" s="78">
        <f t="shared" si="10"/>
        <v>0</v>
      </c>
      <c r="N58" s="65"/>
      <c r="O58" s="65"/>
    </row>
    <row r="59" spans="1:15" ht="17.100000000000001" customHeight="1" x14ac:dyDescent="0.2">
      <c r="A59" s="88" t="s">
        <v>146</v>
      </c>
      <c r="B59" s="72" t="s">
        <v>147</v>
      </c>
      <c r="C59" s="77">
        <v>180000</v>
      </c>
      <c r="D59" s="77"/>
      <c r="E59" s="77"/>
      <c r="F59" s="77"/>
      <c r="G59" s="77"/>
      <c r="H59" s="77"/>
      <c r="I59" s="77"/>
      <c r="J59" s="77">
        <f t="shared" si="9"/>
        <v>180000</v>
      </c>
      <c r="K59" s="77">
        <v>0</v>
      </c>
      <c r="L59" s="77">
        <f t="shared" si="7"/>
        <v>180000</v>
      </c>
      <c r="M59" s="78">
        <f t="shared" si="10"/>
        <v>0</v>
      </c>
      <c r="N59" s="65"/>
      <c r="O59" s="65"/>
    </row>
    <row r="60" spans="1:15" ht="17.100000000000001" customHeight="1" x14ac:dyDescent="0.2">
      <c r="A60" s="88" t="s">
        <v>148</v>
      </c>
      <c r="B60" s="72" t="s">
        <v>149</v>
      </c>
      <c r="C60" s="77">
        <v>0</v>
      </c>
      <c r="D60" s="77"/>
      <c r="E60" s="77"/>
      <c r="F60" s="77"/>
      <c r="G60" s="77"/>
      <c r="H60" s="77"/>
      <c r="I60" s="77"/>
      <c r="J60" s="77">
        <f t="shared" si="9"/>
        <v>0</v>
      </c>
      <c r="K60" s="77">
        <v>0</v>
      </c>
      <c r="L60" s="77">
        <f t="shared" si="7"/>
        <v>0</v>
      </c>
      <c r="M60" s="78">
        <f t="shared" si="10"/>
        <v>0</v>
      </c>
      <c r="N60" s="65"/>
      <c r="O60" s="65"/>
    </row>
    <row r="61" spans="1:15" ht="17.100000000000001" customHeight="1" x14ac:dyDescent="0.2">
      <c r="A61" s="88" t="s">
        <v>150</v>
      </c>
      <c r="B61" s="72" t="s">
        <v>151</v>
      </c>
      <c r="C61" s="77">
        <v>40600</v>
      </c>
      <c r="D61" s="77"/>
      <c r="E61" s="77">
        <v>16600</v>
      </c>
      <c r="F61" s="77"/>
      <c r="G61" s="77"/>
      <c r="H61" s="77"/>
      <c r="I61" s="77"/>
      <c r="J61" s="77">
        <f t="shared" si="9"/>
        <v>24000</v>
      </c>
      <c r="K61" s="77">
        <v>2325</v>
      </c>
      <c r="L61" s="77">
        <f t="shared" si="7"/>
        <v>21675</v>
      </c>
      <c r="M61" s="78">
        <f t="shared" si="10"/>
        <v>3.2461415070571468E-3</v>
      </c>
      <c r="N61" s="65"/>
      <c r="O61" s="65"/>
    </row>
    <row r="62" spans="1:15" ht="17.100000000000001" customHeight="1" x14ac:dyDescent="0.2">
      <c r="A62" s="88" t="s">
        <v>152</v>
      </c>
      <c r="B62" s="72" t="s">
        <v>153</v>
      </c>
      <c r="C62" s="77">
        <v>60000</v>
      </c>
      <c r="D62" s="77"/>
      <c r="E62" s="77">
        <v>6000</v>
      </c>
      <c r="F62" s="77"/>
      <c r="G62" s="77"/>
      <c r="H62" s="77"/>
      <c r="I62" s="77"/>
      <c r="J62" s="77">
        <f t="shared" si="9"/>
        <v>54000</v>
      </c>
      <c r="K62" s="77">
        <v>13500</v>
      </c>
      <c r="L62" s="77">
        <f t="shared" si="7"/>
        <v>40500</v>
      </c>
      <c r="M62" s="78">
        <f t="shared" si="10"/>
        <v>1.8848563589364077E-2</v>
      </c>
      <c r="N62" s="65"/>
      <c r="O62" s="65"/>
    </row>
    <row r="63" spans="1:15" ht="17.100000000000001" customHeight="1" x14ac:dyDescent="0.2">
      <c r="A63" s="88" t="s">
        <v>154</v>
      </c>
      <c r="B63" s="72" t="s">
        <v>60</v>
      </c>
      <c r="C63" s="77">
        <v>11300</v>
      </c>
      <c r="D63" s="77"/>
      <c r="E63" s="77"/>
      <c r="F63" s="77"/>
      <c r="G63" s="77"/>
      <c r="H63" s="77"/>
      <c r="I63" s="77"/>
      <c r="J63" s="77">
        <f t="shared" si="9"/>
        <v>11300</v>
      </c>
      <c r="K63" s="77">
        <v>594</v>
      </c>
      <c r="L63" s="77">
        <f t="shared" si="7"/>
        <v>10706</v>
      </c>
      <c r="M63" s="78">
        <f t="shared" si="10"/>
        <v>8.2933679793201947E-4</v>
      </c>
      <c r="N63" s="65"/>
      <c r="O63" s="65"/>
    </row>
    <row r="64" spans="1:15" ht="17.100000000000001" customHeight="1" x14ac:dyDescent="0.2">
      <c r="A64" s="88" t="s">
        <v>155</v>
      </c>
      <c r="B64" s="72" t="s">
        <v>156</v>
      </c>
      <c r="C64" s="77">
        <v>15500</v>
      </c>
      <c r="D64" s="77"/>
      <c r="E64" s="77"/>
      <c r="F64" s="77"/>
      <c r="G64" s="77"/>
      <c r="H64" s="77"/>
      <c r="I64" s="77"/>
      <c r="J64" s="77">
        <f t="shared" si="9"/>
        <v>15500</v>
      </c>
      <c r="K64" s="77">
        <v>0</v>
      </c>
      <c r="L64" s="77">
        <f t="shared" si="7"/>
        <v>15500</v>
      </c>
      <c r="M64" s="78">
        <f t="shared" si="10"/>
        <v>0</v>
      </c>
      <c r="N64" s="65"/>
      <c r="O64" s="65"/>
    </row>
    <row r="65" spans="1:15" ht="17.100000000000001" customHeight="1" x14ac:dyDescent="0.2">
      <c r="A65" s="88" t="s">
        <v>157</v>
      </c>
      <c r="B65" s="72" t="s">
        <v>61</v>
      </c>
      <c r="C65" s="77">
        <v>24394.959999999995</v>
      </c>
      <c r="D65" s="77"/>
      <c r="E65" s="77">
        <v>3200</v>
      </c>
      <c r="F65" s="77"/>
      <c r="G65" s="77"/>
      <c r="H65" s="77"/>
      <c r="I65" s="77"/>
      <c r="J65" s="77">
        <f t="shared" si="9"/>
        <v>21194.959999999995</v>
      </c>
      <c r="K65" s="77">
        <v>2400</v>
      </c>
      <c r="L65" s="77">
        <f t="shared" si="7"/>
        <v>18794.959999999995</v>
      </c>
      <c r="M65" s="78">
        <f t="shared" si="10"/>
        <v>3.3508557492202807E-3</v>
      </c>
      <c r="N65" s="65"/>
      <c r="O65" s="65"/>
    </row>
    <row r="66" spans="1:15" ht="17.100000000000001" customHeight="1" x14ac:dyDescent="0.2">
      <c r="A66" s="88" t="s">
        <v>158</v>
      </c>
      <c r="B66" s="72" t="s">
        <v>62</v>
      </c>
      <c r="C66" s="77">
        <v>80000</v>
      </c>
      <c r="D66" s="77"/>
      <c r="E66" s="77"/>
      <c r="F66" s="77"/>
      <c r="G66" s="77"/>
      <c r="H66" s="77"/>
      <c r="I66" s="77"/>
      <c r="J66" s="77">
        <f t="shared" si="9"/>
        <v>80000</v>
      </c>
      <c r="K66" s="77">
        <v>0</v>
      </c>
      <c r="L66" s="77">
        <f t="shared" si="7"/>
        <v>80000</v>
      </c>
      <c r="M66" s="78">
        <f t="shared" si="10"/>
        <v>0</v>
      </c>
      <c r="N66" s="65"/>
      <c r="O66" s="65"/>
    </row>
    <row r="67" spans="1:15" ht="17.100000000000001" customHeight="1" x14ac:dyDescent="0.2">
      <c r="A67" s="88" t="s">
        <v>159</v>
      </c>
      <c r="B67" s="72" t="s">
        <v>238</v>
      </c>
      <c r="C67" s="77">
        <v>244000</v>
      </c>
      <c r="D67" s="77"/>
      <c r="E67" s="77">
        <v>12800</v>
      </c>
      <c r="F67" s="77"/>
      <c r="G67" s="77"/>
      <c r="H67" s="77"/>
      <c r="I67" s="77"/>
      <c r="J67" s="77">
        <f t="shared" si="9"/>
        <v>231200</v>
      </c>
      <c r="K67" s="77">
        <v>43969</v>
      </c>
      <c r="L67" s="77">
        <f t="shared" si="7"/>
        <v>187231</v>
      </c>
      <c r="M67" s="78">
        <f t="shared" si="10"/>
        <v>6.1389073515611049E-2</v>
      </c>
      <c r="N67" s="65"/>
      <c r="O67" s="65"/>
    </row>
    <row r="68" spans="1:15" ht="17.100000000000001" customHeight="1" x14ac:dyDescent="0.2">
      <c r="A68" s="88" t="s">
        <v>160</v>
      </c>
      <c r="B68" s="72" t="s">
        <v>64</v>
      </c>
      <c r="C68" s="77">
        <v>11250</v>
      </c>
      <c r="D68" s="77"/>
      <c r="E68" s="77"/>
      <c r="F68" s="77"/>
      <c r="G68" s="77"/>
      <c r="H68" s="77"/>
      <c r="I68" s="77"/>
      <c r="J68" s="77">
        <f t="shared" si="9"/>
        <v>11250</v>
      </c>
      <c r="K68" s="77">
        <v>0</v>
      </c>
      <c r="L68" s="77">
        <f t="shared" si="7"/>
        <v>11250</v>
      </c>
      <c r="M68" s="78">
        <f t="shared" si="10"/>
        <v>0</v>
      </c>
      <c r="N68" s="65"/>
      <c r="O68" s="65"/>
    </row>
    <row r="69" spans="1:15" ht="17.100000000000001" customHeight="1" x14ac:dyDescent="0.2">
      <c r="A69" s="88" t="s">
        <v>161</v>
      </c>
      <c r="B69" s="72" t="s">
        <v>239</v>
      </c>
      <c r="C69" s="77">
        <v>5000</v>
      </c>
      <c r="D69" s="77"/>
      <c r="E69" s="77"/>
      <c r="F69" s="77"/>
      <c r="G69" s="77"/>
      <c r="H69" s="77"/>
      <c r="I69" s="77"/>
      <c r="J69" s="77">
        <f t="shared" si="9"/>
        <v>5000</v>
      </c>
      <c r="K69" s="77">
        <v>214.63</v>
      </c>
      <c r="L69" s="77">
        <f t="shared" si="7"/>
        <v>4785.37</v>
      </c>
      <c r="M69" s="78">
        <f t="shared" si="10"/>
        <v>2.9966423727297866E-4</v>
      </c>
      <c r="N69" s="65"/>
      <c r="O69" s="65"/>
    </row>
    <row r="70" spans="1:15" ht="17.100000000000001" customHeight="1" x14ac:dyDescent="0.2">
      <c r="A70" s="88" t="s">
        <v>163</v>
      </c>
      <c r="B70" s="72" t="s">
        <v>164</v>
      </c>
      <c r="C70" s="77">
        <v>5000</v>
      </c>
      <c r="D70" s="77"/>
      <c r="E70" s="77"/>
      <c r="F70" s="77"/>
      <c r="G70" s="77"/>
      <c r="H70" s="77"/>
      <c r="I70" s="77"/>
      <c r="J70" s="77">
        <f t="shared" si="9"/>
        <v>5000</v>
      </c>
      <c r="K70" s="77">
        <v>743.26</v>
      </c>
      <c r="L70" s="77">
        <f t="shared" si="7"/>
        <v>4256.74</v>
      </c>
      <c r="M70" s="78">
        <f t="shared" si="10"/>
        <v>1.0377321017356108E-3</v>
      </c>
      <c r="N70" s="65"/>
      <c r="O70" s="65"/>
    </row>
    <row r="71" spans="1:15" ht="17.100000000000001" customHeight="1" x14ac:dyDescent="0.2">
      <c r="A71" s="88" t="s">
        <v>165</v>
      </c>
      <c r="B71" s="72" t="s">
        <v>65</v>
      </c>
      <c r="C71" s="77">
        <v>21150</v>
      </c>
      <c r="D71" s="77">
        <v>970</v>
      </c>
      <c r="E71" s="77"/>
      <c r="F71" s="77"/>
      <c r="G71" s="77"/>
      <c r="H71" s="77"/>
      <c r="I71" s="77"/>
      <c r="J71" s="77">
        <f t="shared" si="9"/>
        <v>22120</v>
      </c>
      <c r="K71" s="77">
        <v>0</v>
      </c>
      <c r="L71" s="77">
        <f t="shared" si="7"/>
        <v>22120</v>
      </c>
      <c r="M71" s="78">
        <f t="shared" si="10"/>
        <v>0</v>
      </c>
      <c r="N71" s="65"/>
      <c r="O71" s="65"/>
    </row>
    <row r="72" spans="1:15" ht="17.100000000000001" customHeight="1" x14ac:dyDescent="0.2">
      <c r="A72" s="88" t="s">
        <v>166</v>
      </c>
      <c r="B72" s="72" t="s">
        <v>167</v>
      </c>
      <c r="C72" s="77">
        <v>17000</v>
      </c>
      <c r="D72" s="77">
        <v>750</v>
      </c>
      <c r="E72" s="77"/>
      <c r="F72" s="77"/>
      <c r="G72" s="77"/>
      <c r="H72" s="77"/>
      <c r="I72" s="77"/>
      <c r="J72" s="77">
        <f t="shared" si="9"/>
        <v>17750</v>
      </c>
      <c r="K72" s="77">
        <v>552</v>
      </c>
      <c r="L72" s="77">
        <f t="shared" si="7"/>
        <v>17198</v>
      </c>
      <c r="M72" s="78">
        <f t="shared" si="10"/>
        <v>7.7069682232066455E-4</v>
      </c>
      <c r="N72" s="65"/>
      <c r="O72" s="65"/>
    </row>
    <row r="73" spans="1:15" ht="17.100000000000001" customHeight="1" x14ac:dyDescent="0.2">
      <c r="A73" s="88"/>
      <c r="B73" s="72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65"/>
      <c r="O73" s="65"/>
    </row>
    <row r="74" spans="1:15" ht="17.100000000000001" customHeight="1" x14ac:dyDescent="0.25">
      <c r="A74" s="86">
        <v>2</v>
      </c>
      <c r="B74" s="87" t="s">
        <v>66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8"/>
      <c r="N74" s="65"/>
      <c r="O74" s="65"/>
    </row>
    <row r="75" spans="1:15" ht="17.100000000000001" customHeight="1" x14ac:dyDescent="0.2">
      <c r="A75" s="88" t="s">
        <v>168</v>
      </c>
      <c r="B75" s="72" t="s">
        <v>67</v>
      </c>
      <c r="C75" s="77">
        <v>116357.64</v>
      </c>
      <c r="D75" s="77">
        <v>40914</v>
      </c>
      <c r="E75" s="77"/>
      <c r="F75" s="77"/>
      <c r="G75" s="77"/>
      <c r="H75" s="77"/>
      <c r="I75" s="77"/>
      <c r="J75" s="77">
        <f t="shared" si="9"/>
        <v>157271.64000000001</v>
      </c>
      <c r="K75" s="77">
        <v>13828.6</v>
      </c>
      <c r="L75" s="77">
        <f t="shared" si="7"/>
        <v>143443.04</v>
      </c>
      <c r="M75" s="78">
        <f t="shared" ref="M75:M91" si="11">K75/$K$123</f>
        <v>1.9307351589028156E-2</v>
      </c>
      <c r="N75" s="65"/>
      <c r="O75" s="65"/>
    </row>
    <row r="76" spans="1:15" ht="17.100000000000001" customHeight="1" x14ac:dyDescent="0.2">
      <c r="A76" s="88" t="s">
        <v>254</v>
      </c>
      <c r="B76" s="72" t="s">
        <v>255</v>
      </c>
      <c r="C76" s="77">
        <v>0</v>
      </c>
      <c r="D76" s="77">
        <v>750</v>
      </c>
      <c r="E76" s="77"/>
      <c r="F76" s="77"/>
      <c r="G76" s="77"/>
      <c r="H76" s="77"/>
      <c r="I76" s="77"/>
      <c r="J76" s="77">
        <f t="shared" si="9"/>
        <v>750</v>
      </c>
      <c r="K76" s="77">
        <v>0</v>
      </c>
      <c r="L76" s="77">
        <f t="shared" si="7"/>
        <v>750</v>
      </c>
      <c r="M76" s="78">
        <f t="shared" si="11"/>
        <v>0</v>
      </c>
      <c r="N76" s="65"/>
      <c r="O76" s="65"/>
    </row>
    <row r="77" spans="1:15" ht="17.100000000000001" customHeight="1" x14ac:dyDescent="0.2">
      <c r="A77" s="88" t="s">
        <v>170</v>
      </c>
      <c r="B77" s="72" t="s">
        <v>69</v>
      </c>
      <c r="C77" s="77">
        <v>2080</v>
      </c>
      <c r="D77" s="77">
        <v>4500</v>
      </c>
      <c r="E77" s="77"/>
      <c r="F77" s="77"/>
      <c r="G77" s="77"/>
      <c r="H77" s="77"/>
      <c r="I77" s="77"/>
      <c r="J77" s="77">
        <f t="shared" si="9"/>
        <v>6580</v>
      </c>
      <c r="K77" s="77">
        <v>160</v>
      </c>
      <c r="L77" s="77">
        <f t="shared" si="7"/>
        <v>6420</v>
      </c>
      <c r="M77" s="78">
        <f t="shared" si="11"/>
        <v>2.2339038328135204E-4</v>
      </c>
      <c r="N77" s="65"/>
      <c r="O77" s="65"/>
    </row>
    <row r="78" spans="1:15" ht="17.100000000000001" customHeight="1" x14ac:dyDescent="0.2">
      <c r="A78" s="88" t="s">
        <v>171</v>
      </c>
      <c r="B78" s="72" t="s">
        <v>70</v>
      </c>
      <c r="C78" s="77">
        <v>62500</v>
      </c>
      <c r="D78" s="77">
        <v>6450</v>
      </c>
      <c r="E78" s="77"/>
      <c r="F78" s="77"/>
      <c r="G78" s="77"/>
      <c r="H78" s="77"/>
      <c r="I78" s="77"/>
      <c r="J78" s="77">
        <f t="shared" si="9"/>
        <v>68950</v>
      </c>
      <c r="K78" s="77">
        <v>0</v>
      </c>
      <c r="L78" s="77">
        <f t="shared" si="7"/>
        <v>68950</v>
      </c>
      <c r="M78" s="78">
        <f t="shared" si="11"/>
        <v>0</v>
      </c>
      <c r="N78" s="65"/>
      <c r="O78" s="65"/>
    </row>
    <row r="79" spans="1:15" ht="17.100000000000001" customHeight="1" x14ac:dyDescent="0.2">
      <c r="A79" s="88" t="s">
        <v>172</v>
      </c>
      <c r="B79" s="72" t="s">
        <v>71</v>
      </c>
      <c r="C79" s="77">
        <v>6000</v>
      </c>
      <c r="D79" s="77">
        <v>750</v>
      </c>
      <c r="E79" s="77"/>
      <c r="F79" s="77"/>
      <c r="G79" s="77"/>
      <c r="H79" s="77"/>
      <c r="I79" s="77"/>
      <c r="J79" s="77">
        <f t="shared" si="9"/>
        <v>6750</v>
      </c>
      <c r="K79" s="77">
        <v>766</v>
      </c>
      <c r="L79" s="77">
        <f t="shared" si="7"/>
        <v>5984</v>
      </c>
      <c r="M79" s="78">
        <f t="shared" si="11"/>
        <v>1.0694814599594728E-3</v>
      </c>
      <c r="N79" s="65"/>
      <c r="O79" s="65"/>
    </row>
    <row r="80" spans="1:15" ht="17.100000000000001" customHeight="1" x14ac:dyDescent="0.2">
      <c r="A80" s="88" t="s">
        <v>173</v>
      </c>
      <c r="B80" s="72" t="s">
        <v>72</v>
      </c>
      <c r="C80" s="77">
        <v>1100</v>
      </c>
      <c r="D80" s="77"/>
      <c r="E80" s="77"/>
      <c r="F80" s="77"/>
      <c r="G80" s="77"/>
      <c r="H80" s="77"/>
      <c r="I80" s="77"/>
      <c r="J80" s="77">
        <f t="shared" si="9"/>
        <v>1100</v>
      </c>
      <c r="K80" s="77">
        <v>78</v>
      </c>
      <c r="L80" s="77">
        <f t="shared" si="7"/>
        <v>1022</v>
      </c>
      <c r="M80" s="78">
        <f t="shared" si="11"/>
        <v>1.0890281184965912E-4</v>
      </c>
      <c r="N80" s="65"/>
      <c r="O80" s="65"/>
    </row>
    <row r="81" spans="1:15" ht="17.100000000000001" customHeight="1" x14ac:dyDescent="0.2">
      <c r="A81" s="88" t="s">
        <v>174</v>
      </c>
      <c r="B81" s="72" t="s">
        <v>175</v>
      </c>
      <c r="C81" s="77">
        <v>2255</v>
      </c>
      <c r="D81" s="77"/>
      <c r="E81" s="77"/>
      <c r="F81" s="77"/>
      <c r="G81" s="77"/>
      <c r="H81" s="77"/>
      <c r="I81" s="77"/>
      <c r="J81" s="77">
        <f t="shared" si="9"/>
        <v>2255</v>
      </c>
      <c r="K81" s="77">
        <v>624</v>
      </c>
      <c r="L81" s="77">
        <f t="shared" si="7"/>
        <v>1631</v>
      </c>
      <c r="M81" s="78">
        <f t="shared" si="11"/>
        <v>8.7122249479727298E-4</v>
      </c>
      <c r="N81" s="65"/>
      <c r="O81" s="65"/>
    </row>
    <row r="82" spans="1:15" ht="17.100000000000001" customHeight="1" x14ac:dyDescent="0.2">
      <c r="A82" s="88" t="s">
        <v>176</v>
      </c>
      <c r="B82" s="72" t="s">
        <v>177</v>
      </c>
      <c r="C82" s="77">
        <v>1300</v>
      </c>
      <c r="D82" s="77"/>
      <c r="E82" s="77"/>
      <c r="F82" s="77"/>
      <c r="G82" s="77"/>
      <c r="H82" s="77"/>
      <c r="I82" s="77"/>
      <c r="J82" s="77">
        <f t="shared" si="9"/>
        <v>1300</v>
      </c>
      <c r="K82" s="77">
        <v>13</v>
      </c>
      <c r="L82" s="77">
        <f t="shared" si="7"/>
        <v>1287</v>
      </c>
      <c r="M82" s="78">
        <f t="shared" si="11"/>
        <v>1.8150468641609854E-5</v>
      </c>
      <c r="N82" s="65"/>
      <c r="O82" s="65"/>
    </row>
    <row r="83" spans="1:15" ht="17.100000000000001" customHeight="1" x14ac:dyDescent="0.2">
      <c r="A83" s="88" t="s">
        <v>178</v>
      </c>
      <c r="B83" s="72" t="s">
        <v>179</v>
      </c>
      <c r="C83" s="77">
        <v>7500</v>
      </c>
      <c r="D83" s="77"/>
      <c r="E83" s="77"/>
      <c r="F83" s="77"/>
      <c r="G83" s="77"/>
      <c r="H83" s="77"/>
      <c r="I83" s="77"/>
      <c r="J83" s="77">
        <f t="shared" si="9"/>
        <v>7500</v>
      </c>
      <c r="K83" s="77">
        <v>0</v>
      </c>
      <c r="L83" s="77">
        <f t="shared" si="7"/>
        <v>7500</v>
      </c>
      <c r="M83" s="78">
        <f t="shared" si="11"/>
        <v>0</v>
      </c>
      <c r="N83" s="65"/>
      <c r="O83" s="65"/>
    </row>
    <row r="84" spans="1:15" ht="17.100000000000001" customHeight="1" x14ac:dyDescent="0.2">
      <c r="A84" s="88" t="s">
        <v>180</v>
      </c>
      <c r="B84" s="72" t="s">
        <v>73</v>
      </c>
      <c r="C84" s="77">
        <v>200</v>
      </c>
      <c r="D84" s="77">
        <v>1050</v>
      </c>
      <c r="E84" s="77"/>
      <c r="F84" s="77"/>
      <c r="G84" s="77"/>
      <c r="H84" s="77"/>
      <c r="I84" s="77"/>
      <c r="J84" s="77">
        <f t="shared" si="9"/>
        <v>1250</v>
      </c>
      <c r="K84" s="77">
        <v>0</v>
      </c>
      <c r="L84" s="77">
        <f t="shared" si="7"/>
        <v>1250</v>
      </c>
      <c r="M84" s="78">
        <f t="shared" si="11"/>
        <v>0</v>
      </c>
      <c r="N84" s="65"/>
      <c r="O84" s="65"/>
    </row>
    <row r="85" spans="1:15" ht="17.100000000000001" customHeight="1" x14ac:dyDescent="0.2">
      <c r="A85" s="88" t="s">
        <v>181</v>
      </c>
      <c r="B85" s="72" t="s">
        <v>74</v>
      </c>
      <c r="C85" s="77">
        <v>10920</v>
      </c>
      <c r="D85" s="77"/>
      <c r="E85" s="77">
        <v>2700</v>
      </c>
      <c r="F85" s="77"/>
      <c r="G85" s="77"/>
      <c r="H85" s="77"/>
      <c r="I85" s="77"/>
      <c r="J85" s="77">
        <f t="shared" si="9"/>
        <v>8220</v>
      </c>
      <c r="K85" s="77">
        <v>1807.96</v>
      </c>
      <c r="L85" s="77">
        <f t="shared" si="7"/>
        <v>6412.04</v>
      </c>
      <c r="M85" s="78">
        <f t="shared" si="11"/>
        <v>2.5242554834834577E-3</v>
      </c>
      <c r="N85" s="65"/>
      <c r="O85" s="65"/>
    </row>
    <row r="86" spans="1:15" ht="17.100000000000001" customHeight="1" x14ac:dyDescent="0.2">
      <c r="A86" s="88" t="s">
        <v>182</v>
      </c>
      <c r="B86" s="72" t="s">
        <v>183</v>
      </c>
      <c r="C86" s="77">
        <v>1850</v>
      </c>
      <c r="D86" s="77"/>
      <c r="E86" s="77"/>
      <c r="F86" s="77"/>
      <c r="G86" s="77"/>
      <c r="H86" s="77"/>
      <c r="I86" s="77"/>
      <c r="J86" s="77">
        <f t="shared" si="9"/>
        <v>1850</v>
      </c>
      <c r="K86" s="77">
        <v>308.10000000000002</v>
      </c>
      <c r="L86" s="77">
        <f t="shared" si="7"/>
        <v>1541.9</v>
      </c>
      <c r="M86" s="78">
        <f t="shared" si="11"/>
        <v>4.3016610680615355E-4</v>
      </c>
      <c r="N86" s="65"/>
      <c r="O86" s="65"/>
    </row>
    <row r="87" spans="1:15" ht="17.100000000000001" customHeight="1" x14ac:dyDescent="0.2">
      <c r="A87" s="88" t="s">
        <v>184</v>
      </c>
      <c r="B87" s="72" t="s">
        <v>75</v>
      </c>
      <c r="C87" s="77">
        <v>19000</v>
      </c>
      <c r="D87" s="77">
        <v>3250</v>
      </c>
      <c r="E87" s="77"/>
      <c r="F87" s="77"/>
      <c r="G87" s="77"/>
      <c r="H87" s="77"/>
      <c r="I87" s="77"/>
      <c r="J87" s="77">
        <f t="shared" si="9"/>
        <v>22250</v>
      </c>
      <c r="K87" s="77">
        <v>3148.98</v>
      </c>
      <c r="L87" s="77">
        <f t="shared" si="7"/>
        <v>19101.02</v>
      </c>
      <c r="M87" s="78">
        <f t="shared" si="11"/>
        <v>4.3965740571581995E-3</v>
      </c>
      <c r="N87" s="65"/>
      <c r="O87" s="65"/>
    </row>
    <row r="88" spans="1:15" ht="17.100000000000001" customHeight="1" x14ac:dyDescent="0.2">
      <c r="A88" s="88" t="s">
        <v>185</v>
      </c>
      <c r="B88" s="72" t="s">
        <v>186</v>
      </c>
      <c r="C88" s="77">
        <v>4793.1600000000008</v>
      </c>
      <c r="D88" s="77">
        <v>17750</v>
      </c>
      <c r="E88" s="77"/>
      <c r="F88" s="77"/>
      <c r="G88" s="77"/>
      <c r="H88" s="77"/>
      <c r="I88" s="77"/>
      <c r="J88" s="77">
        <f t="shared" si="9"/>
        <v>22543.16</v>
      </c>
      <c r="K88" s="77">
        <v>395.3</v>
      </c>
      <c r="L88" s="77">
        <f t="shared" si="7"/>
        <v>22147.86</v>
      </c>
      <c r="M88" s="78">
        <f t="shared" si="11"/>
        <v>5.5191386569449039E-4</v>
      </c>
      <c r="N88" s="65"/>
      <c r="O88" s="65"/>
    </row>
    <row r="89" spans="1:15" ht="17.100000000000001" customHeight="1" x14ac:dyDescent="0.2">
      <c r="A89" s="88" t="s">
        <v>187</v>
      </c>
      <c r="B89" s="72" t="s">
        <v>188</v>
      </c>
      <c r="C89" s="77">
        <v>1250</v>
      </c>
      <c r="D89" s="77"/>
      <c r="E89" s="77"/>
      <c r="F89" s="77"/>
      <c r="G89" s="77"/>
      <c r="H89" s="77"/>
      <c r="I89" s="77"/>
      <c r="J89" s="77">
        <f t="shared" si="9"/>
        <v>1250</v>
      </c>
      <c r="K89" s="77">
        <v>0</v>
      </c>
      <c r="L89" s="77">
        <f t="shared" ref="L89:L121" si="12">J89-K89</f>
        <v>1250</v>
      </c>
      <c r="M89" s="78">
        <f t="shared" si="11"/>
        <v>0</v>
      </c>
      <c r="N89" s="65"/>
      <c r="O89" s="65"/>
    </row>
    <row r="90" spans="1:15" ht="17.100000000000001" customHeight="1" x14ac:dyDescent="0.2">
      <c r="A90" s="88" t="s">
        <v>189</v>
      </c>
      <c r="B90" s="72" t="s">
        <v>76</v>
      </c>
      <c r="C90" s="77">
        <v>165089.08000000002</v>
      </c>
      <c r="D90" s="77"/>
      <c r="E90" s="77">
        <v>2000</v>
      </c>
      <c r="F90" s="77"/>
      <c r="G90" s="77"/>
      <c r="H90" s="77"/>
      <c r="I90" s="77"/>
      <c r="J90" s="77">
        <f t="shared" si="9"/>
        <v>163089.08000000002</v>
      </c>
      <c r="K90" s="77">
        <v>0</v>
      </c>
      <c r="L90" s="77">
        <f t="shared" si="12"/>
        <v>163089.08000000002</v>
      </c>
      <c r="M90" s="78">
        <f t="shared" si="11"/>
        <v>0</v>
      </c>
      <c r="N90" s="65"/>
      <c r="O90" s="65"/>
    </row>
    <row r="91" spans="1:15" ht="17.100000000000001" customHeight="1" x14ac:dyDescent="0.2">
      <c r="A91" s="88" t="s">
        <v>190</v>
      </c>
      <c r="B91" s="72" t="s">
        <v>77</v>
      </c>
      <c r="C91" s="77">
        <v>0</v>
      </c>
      <c r="D91" s="77"/>
      <c r="E91" s="77"/>
      <c r="F91" s="77"/>
      <c r="G91" s="77"/>
      <c r="H91" s="77"/>
      <c r="I91" s="77"/>
      <c r="J91" s="77">
        <f t="shared" si="9"/>
        <v>0</v>
      </c>
      <c r="K91" s="77">
        <v>0</v>
      </c>
      <c r="L91" s="77">
        <f t="shared" si="12"/>
        <v>0</v>
      </c>
      <c r="M91" s="78">
        <f t="shared" si="11"/>
        <v>0</v>
      </c>
      <c r="N91" s="65"/>
      <c r="O91" s="65"/>
    </row>
    <row r="92" spans="1:15" ht="17.100000000000001" customHeight="1" x14ac:dyDescent="0.2">
      <c r="A92" s="88" t="s">
        <v>256</v>
      </c>
      <c r="B92" s="72" t="s">
        <v>257</v>
      </c>
      <c r="C92" s="77">
        <v>0</v>
      </c>
      <c r="D92" s="77">
        <v>1200</v>
      </c>
      <c r="E92" s="77"/>
      <c r="F92" s="77"/>
      <c r="G92" s="77"/>
      <c r="H92" s="77"/>
      <c r="I92" s="77"/>
      <c r="J92" s="77">
        <f t="shared" ref="J92:J93" si="13">C92+D92-E92+F92-G92+H92-I92</f>
        <v>1200</v>
      </c>
      <c r="K92" s="77">
        <v>0</v>
      </c>
      <c r="L92" s="77">
        <f t="shared" ref="L92:L93" si="14">J92-K92</f>
        <v>1200</v>
      </c>
      <c r="M92" s="78">
        <f t="shared" ref="M92:M93" si="15">K92/$K$123</f>
        <v>0</v>
      </c>
      <c r="N92" s="65"/>
      <c r="O92" s="65"/>
    </row>
    <row r="93" spans="1:15" ht="17.100000000000001" customHeight="1" x14ac:dyDescent="0.2">
      <c r="A93" s="88" t="s">
        <v>258</v>
      </c>
      <c r="B93" s="72" t="s">
        <v>259</v>
      </c>
      <c r="C93" s="77">
        <v>0</v>
      </c>
      <c r="D93" s="77">
        <v>750</v>
      </c>
      <c r="E93" s="77"/>
      <c r="F93" s="77"/>
      <c r="G93" s="77"/>
      <c r="H93" s="77"/>
      <c r="I93" s="77"/>
      <c r="J93" s="77">
        <f t="shared" si="13"/>
        <v>750</v>
      </c>
      <c r="K93" s="77">
        <v>0</v>
      </c>
      <c r="L93" s="77">
        <f t="shared" si="14"/>
        <v>750</v>
      </c>
      <c r="M93" s="78">
        <f t="shared" si="15"/>
        <v>0</v>
      </c>
      <c r="N93" s="65"/>
      <c r="O93" s="65"/>
    </row>
    <row r="94" spans="1:15" ht="17.100000000000001" customHeight="1" x14ac:dyDescent="0.2">
      <c r="A94" s="88" t="s">
        <v>191</v>
      </c>
      <c r="B94" s="72" t="s">
        <v>78</v>
      </c>
      <c r="C94" s="77">
        <v>1000</v>
      </c>
      <c r="D94" s="77"/>
      <c r="E94" s="77"/>
      <c r="F94" s="77"/>
      <c r="G94" s="77"/>
      <c r="H94" s="77"/>
      <c r="I94" s="77"/>
      <c r="J94" s="77">
        <f t="shared" si="9"/>
        <v>1000</v>
      </c>
      <c r="K94" s="77">
        <v>169.6</v>
      </c>
      <c r="L94" s="77">
        <f t="shared" si="12"/>
        <v>830.4</v>
      </c>
      <c r="M94" s="78">
        <f t="shared" ref="M94:M104" si="16">K94/$K$123</f>
        <v>2.3679380627823315E-4</v>
      </c>
      <c r="N94" s="65"/>
      <c r="O94" s="65"/>
    </row>
    <row r="95" spans="1:15" ht="17.100000000000001" customHeight="1" x14ac:dyDescent="0.2">
      <c r="A95" s="88" t="s">
        <v>192</v>
      </c>
      <c r="B95" s="72" t="s">
        <v>79</v>
      </c>
      <c r="C95" s="77">
        <v>7500</v>
      </c>
      <c r="D95" s="77"/>
      <c r="E95" s="77"/>
      <c r="F95" s="77"/>
      <c r="G95" s="77"/>
      <c r="H95" s="77"/>
      <c r="I95" s="77"/>
      <c r="J95" s="77">
        <f t="shared" si="9"/>
        <v>7500</v>
      </c>
      <c r="K95" s="77">
        <v>0</v>
      </c>
      <c r="L95" s="77">
        <f t="shared" si="12"/>
        <v>7500</v>
      </c>
      <c r="M95" s="78">
        <f t="shared" si="16"/>
        <v>0</v>
      </c>
      <c r="N95" s="65"/>
      <c r="O95" s="65"/>
    </row>
    <row r="96" spans="1:15" ht="17.100000000000001" customHeight="1" x14ac:dyDescent="0.2">
      <c r="A96" s="88" t="s">
        <v>193</v>
      </c>
      <c r="B96" s="72" t="s">
        <v>194</v>
      </c>
      <c r="C96" s="77">
        <v>1125749.23</v>
      </c>
      <c r="D96" s="77"/>
      <c r="E96" s="77">
        <v>8775</v>
      </c>
      <c r="F96" s="77"/>
      <c r="G96" s="77"/>
      <c r="H96" s="77"/>
      <c r="I96" s="77"/>
      <c r="J96" s="77">
        <f t="shared" si="9"/>
        <v>1116974.23</v>
      </c>
      <c r="K96" s="77">
        <v>0</v>
      </c>
      <c r="L96" s="77">
        <f t="shared" si="12"/>
        <v>1116974.23</v>
      </c>
      <c r="M96" s="78">
        <f t="shared" si="16"/>
        <v>0</v>
      </c>
      <c r="N96" s="65"/>
      <c r="O96" s="65"/>
    </row>
    <row r="97" spans="1:15" ht="17.100000000000001" customHeight="1" x14ac:dyDescent="0.2">
      <c r="A97" s="88" t="s">
        <v>260</v>
      </c>
      <c r="B97" s="72" t="s">
        <v>261</v>
      </c>
      <c r="C97" s="77">
        <v>0</v>
      </c>
      <c r="D97" s="77">
        <v>1750</v>
      </c>
      <c r="E97" s="77"/>
      <c r="F97" s="77"/>
      <c r="G97" s="77"/>
      <c r="H97" s="77"/>
      <c r="I97" s="77"/>
      <c r="J97" s="77">
        <f t="shared" ref="J97" si="17">C97+D97-E97+F97-G97+H97-I97</f>
        <v>1750</v>
      </c>
      <c r="K97" s="77">
        <v>0</v>
      </c>
      <c r="L97" s="77">
        <f t="shared" ref="L97" si="18">J97-K97</f>
        <v>1750</v>
      </c>
      <c r="M97" s="78">
        <f t="shared" si="16"/>
        <v>0</v>
      </c>
      <c r="N97" s="65"/>
      <c r="O97" s="65"/>
    </row>
    <row r="98" spans="1:15" ht="17.100000000000001" customHeight="1" x14ac:dyDescent="0.2">
      <c r="A98" s="88" t="s">
        <v>195</v>
      </c>
      <c r="B98" s="72" t="s">
        <v>80</v>
      </c>
      <c r="C98" s="77">
        <v>9940</v>
      </c>
      <c r="D98" s="77"/>
      <c r="E98" s="77">
        <v>625</v>
      </c>
      <c r="F98" s="77"/>
      <c r="G98" s="77"/>
      <c r="H98" s="77"/>
      <c r="I98" s="77"/>
      <c r="J98" s="77">
        <f t="shared" si="9"/>
        <v>9315</v>
      </c>
      <c r="K98" s="77">
        <v>861.3</v>
      </c>
      <c r="L98" s="77">
        <f t="shared" si="12"/>
        <v>8453.7000000000007</v>
      </c>
      <c r="M98" s="78">
        <f t="shared" si="16"/>
        <v>1.2025383570014282E-3</v>
      </c>
      <c r="N98" s="65"/>
      <c r="O98" s="65"/>
    </row>
    <row r="99" spans="1:15" ht="17.100000000000001" customHeight="1" x14ac:dyDescent="0.2">
      <c r="A99" s="88" t="s">
        <v>196</v>
      </c>
      <c r="B99" s="72" t="s">
        <v>197</v>
      </c>
      <c r="C99" s="77">
        <v>2250</v>
      </c>
      <c r="D99" s="77"/>
      <c r="E99" s="77">
        <v>450</v>
      </c>
      <c r="F99" s="77"/>
      <c r="G99" s="77"/>
      <c r="H99" s="77"/>
      <c r="I99" s="77"/>
      <c r="J99" s="77">
        <f t="shared" si="9"/>
        <v>1800</v>
      </c>
      <c r="K99" s="77">
        <v>173.45</v>
      </c>
      <c r="L99" s="77">
        <f t="shared" si="12"/>
        <v>1626.55</v>
      </c>
      <c r="M99" s="78">
        <f t="shared" si="16"/>
        <v>2.4216913737594068E-4</v>
      </c>
      <c r="N99" s="65"/>
      <c r="O99" s="65"/>
    </row>
    <row r="100" spans="1:15" ht="17.100000000000001" customHeight="1" x14ac:dyDescent="0.2">
      <c r="A100" s="88" t="s">
        <v>198</v>
      </c>
      <c r="B100" s="72" t="s">
        <v>81</v>
      </c>
      <c r="C100" s="77">
        <v>122483.72</v>
      </c>
      <c r="D100" s="77"/>
      <c r="E100" s="77">
        <v>31960</v>
      </c>
      <c r="F100" s="77"/>
      <c r="G100" s="77"/>
      <c r="H100" s="77"/>
      <c r="I100" s="77"/>
      <c r="J100" s="77">
        <f t="shared" si="9"/>
        <v>90523.72</v>
      </c>
      <c r="K100" s="77">
        <v>0</v>
      </c>
      <c r="L100" s="77">
        <f t="shared" si="12"/>
        <v>90523.72</v>
      </c>
      <c r="M100" s="78">
        <f t="shared" si="16"/>
        <v>0</v>
      </c>
      <c r="N100" s="65"/>
      <c r="O100" s="65"/>
    </row>
    <row r="101" spans="1:15" ht="17.100000000000001" customHeight="1" x14ac:dyDescent="0.2">
      <c r="A101" s="88" t="s">
        <v>199</v>
      </c>
      <c r="B101" s="72" t="s">
        <v>200</v>
      </c>
      <c r="C101" s="77">
        <v>650</v>
      </c>
      <c r="D101" s="77"/>
      <c r="E101" s="77">
        <v>150</v>
      </c>
      <c r="F101" s="77"/>
      <c r="G101" s="77"/>
      <c r="H101" s="77"/>
      <c r="I101" s="77"/>
      <c r="J101" s="77">
        <f t="shared" si="9"/>
        <v>500</v>
      </c>
      <c r="K101" s="77">
        <v>0</v>
      </c>
      <c r="L101" s="77">
        <f t="shared" si="12"/>
        <v>500</v>
      </c>
      <c r="M101" s="78">
        <f t="shared" si="16"/>
        <v>0</v>
      </c>
      <c r="N101" s="65"/>
      <c r="O101" s="65"/>
    </row>
    <row r="102" spans="1:15" ht="17.100000000000001" customHeight="1" x14ac:dyDescent="0.2">
      <c r="A102" s="88" t="s">
        <v>201</v>
      </c>
      <c r="B102" s="72" t="s">
        <v>202</v>
      </c>
      <c r="C102" s="77">
        <v>6900</v>
      </c>
      <c r="D102" s="77"/>
      <c r="E102" s="77">
        <v>300</v>
      </c>
      <c r="F102" s="77"/>
      <c r="G102" s="77"/>
      <c r="H102" s="77"/>
      <c r="I102" s="77"/>
      <c r="J102" s="77">
        <f t="shared" si="9"/>
        <v>6600</v>
      </c>
      <c r="K102" s="77">
        <v>0</v>
      </c>
      <c r="L102" s="77">
        <f t="shared" si="12"/>
        <v>6600</v>
      </c>
      <c r="M102" s="78">
        <f t="shared" si="16"/>
        <v>0</v>
      </c>
      <c r="N102" s="65"/>
      <c r="O102" s="65"/>
    </row>
    <row r="103" spans="1:15" ht="17.100000000000001" customHeight="1" x14ac:dyDescent="0.2">
      <c r="A103" s="88" t="s">
        <v>203</v>
      </c>
      <c r="B103" s="72" t="s">
        <v>82</v>
      </c>
      <c r="C103" s="77">
        <v>85470</v>
      </c>
      <c r="D103" s="77"/>
      <c r="E103" s="77">
        <v>5669</v>
      </c>
      <c r="F103" s="77"/>
      <c r="G103" s="77"/>
      <c r="H103" s="77"/>
      <c r="I103" s="77"/>
      <c r="J103" s="77">
        <f t="shared" si="9"/>
        <v>79801</v>
      </c>
      <c r="K103" s="77">
        <v>7737.14</v>
      </c>
      <c r="L103" s="77">
        <f t="shared" si="12"/>
        <v>72063.86</v>
      </c>
      <c r="M103" s="78">
        <f t="shared" si="16"/>
        <v>1.0802516688134251E-2</v>
      </c>
      <c r="N103" s="65"/>
      <c r="O103" s="65"/>
    </row>
    <row r="104" spans="1:15" ht="17.100000000000001" customHeight="1" x14ac:dyDescent="0.2">
      <c r="A104" s="88" t="s">
        <v>204</v>
      </c>
      <c r="B104" s="72" t="s">
        <v>83</v>
      </c>
      <c r="C104" s="77">
        <v>15600</v>
      </c>
      <c r="D104" s="77"/>
      <c r="E104" s="77">
        <v>3600</v>
      </c>
      <c r="F104" s="77"/>
      <c r="G104" s="77"/>
      <c r="H104" s="77"/>
      <c r="I104" s="77"/>
      <c r="J104" s="77">
        <f t="shared" si="9"/>
        <v>12000</v>
      </c>
      <c r="K104" s="77">
        <v>355.74</v>
      </c>
      <c r="L104" s="77">
        <f t="shared" si="12"/>
        <v>11644.26</v>
      </c>
      <c r="M104" s="78">
        <f t="shared" si="16"/>
        <v>4.9668059342817606E-4</v>
      </c>
      <c r="N104" s="65"/>
      <c r="O104" s="65"/>
    </row>
    <row r="105" spans="1:15" ht="17.100000000000001" customHeight="1" x14ac:dyDescent="0.2">
      <c r="A105" s="88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  <c r="N105" s="65"/>
      <c r="O105" s="65"/>
    </row>
    <row r="106" spans="1:15" ht="17.100000000000001" customHeight="1" x14ac:dyDescent="0.25">
      <c r="A106" s="86">
        <v>3</v>
      </c>
      <c r="B106" s="87" t="s">
        <v>84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8"/>
      <c r="N106" s="65"/>
      <c r="O106" s="65"/>
    </row>
    <row r="107" spans="1:15" ht="17.100000000000001" customHeight="1" x14ac:dyDescent="0.2">
      <c r="A107" s="88" t="s">
        <v>205</v>
      </c>
      <c r="B107" s="72" t="s">
        <v>85</v>
      </c>
      <c r="C107" s="77">
        <v>162200</v>
      </c>
      <c r="D107" s="77"/>
      <c r="E107" s="77"/>
      <c r="F107" s="77"/>
      <c r="G107" s="77"/>
      <c r="H107" s="77"/>
      <c r="I107" s="77"/>
      <c r="J107" s="77">
        <f t="shared" ref="J107:J121" si="19">C107+D107-E107+F107-G107+H107-I107</f>
        <v>162200</v>
      </c>
      <c r="K107" s="77">
        <v>0</v>
      </c>
      <c r="L107" s="77">
        <f t="shared" si="12"/>
        <v>162200</v>
      </c>
      <c r="M107" s="78">
        <f t="shared" ref="M107:M112" si="20">K107/$K$123</f>
        <v>0</v>
      </c>
      <c r="N107" s="65"/>
      <c r="O107" s="65"/>
    </row>
    <row r="108" spans="1:15" ht="17.100000000000001" customHeight="1" x14ac:dyDescent="0.2">
      <c r="A108" s="88" t="s">
        <v>206</v>
      </c>
      <c r="B108" s="72" t="s">
        <v>207</v>
      </c>
      <c r="C108" s="77">
        <v>0</v>
      </c>
      <c r="D108" s="77"/>
      <c r="E108" s="77"/>
      <c r="F108" s="77"/>
      <c r="G108" s="77"/>
      <c r="H108" s="77"/>
      <c r="I108" s="77"/>
      <c r="J108" s="77">
        <f t="shared" si="19"/>
        <v>0</v>
      </c>
      <c r="K108" s="77"/>
      <c r="L108" s="77">
        <f t="shared" si="12"/>
        <v>0</v>
      </c>
      <c r="M108" s="78">
        <f t="shared" si="20"/>
        <v>0</v>
      </c>
      <c r="N108" s="65"/>
      <c r="O108" s="65"/>
    </row>
    <row r="109" spans="1:15" ht="17.100000000000001" customHeight="1" x14ac:dyDescent="0.2">
      <c r="A109" s="88" t="s">
        <v>208</v>
      </c>
      <c r="B109" s="72" t="s">
        <v>209</v>
      </c>
      <c r="C109" s="77">
        <v>1856690.49</v>
      </c>
      <c r="D109" s="77"/>
      <c r="E109" s="77"/>
      <c r="F109" s="77"/>
      <c r="G109" s="77"/>
      <c r="H109" s="77"/>
      <c r="I109" s="77"/>
      <c r="J109" s="77">
        <f t="shared" si="19"/>
        <v>1856690.49</v>
      </c>
      <c r="K109" s="77">
        <v>0</v>
      </c>
      <c r="L109" s="77">
        <f t="shared" si="12"/>
        <v>1856690.49</v>
      </c>
      <c r="M109" s="78">
        <f t="shared" si="20"/>
        <v>0</v>
      </c>
      <c r="N109" s="65"/>
      <c r="O109" s="65"/>
    </row>
    <row r="110" spans="1:15" ht="17.100000000000001" customHeight="1" x14ac:dyDescent="0.2">
      <c r="A110" s="88" t="s">
        <v>210</v>
      </c>
      <c r="B110" s="72" t="s">
        <v>211</v>
      </c>
      <c r="C110" s="77">
        <v>200000</v>
      </c>
      <c r="D110" s="77"/>
      <c r="E110" s="77"/>
      <c r="F110" s="77"/>
      <c r="G110" s="77"/>
      <c r="H110" s="77"/>
      <c r="I110" s="77"/>
      <c r="J110" s="77">
        <f t="shared" si="19"/>
        <v>200000</v>
      </c>
      <c r="K110" s="77">
        <v>0</v>
      </c>
      <c r="L110" s="77">
        <f t="shared" si="12"/>
        <v>200000</v>
      </c>
      <c r="M110" s="78">
        <f t="shared" si="20"/>
        <v>0</v>
      </c>
      <c r="N110" s="65"/>
      <c r="O110" s="65"/>
    </row>
    <row r="111" spans="1:15" ht="17.100000000000001" customHeight="1" x14ac:dyDescent="0.2">
      <c r="A111" s="88" t="s">
        <v>212</v>
      </c>
      <c r="B111" s="72" t="s">
        <v>213</v>
      </c>
      <c r="C111" s="77">
        <v>500</v>
      </c>
      <c r="D111" s="77"/>
      <c r="E111" s="77"/>
      <c r="F111" s="77"/>
      <c r="G111" s="77"/>
      <c r="H111" s="77"/>
      <c r="I111" s="77"/>
      <c r="J111" s="77">
        <f t="shared" si="19"/>
        <v>500</v>
      </c>
      <c r="K111" s="77">
        <v>0</v>
      </c>
      <c r="L111" s="77">
        <f t="shared" si="12"/>
        <v>500</v>
      </c>
      <c r="M111" s="78">
        <f t="shared" si="20"/>
        <v>0</v>
      </c>
      <c r="N111" s="65"/>
      <c r="O111" s="65"/>
    </row>
    <row r="112" spans="1:15" ht="17.100000000000001" customHeight="1" x14ac:dyDescent="0.2">
      <c r="A112" s="88" t="s">
        <v>214</v>
      </c>
      <c r="B112" s="72" t="s">
        <v>215</v>
      </c>
      <c r="C112" s="77">
        <v>17500</v>
      </c>
      <c r="D112" s="77"/>
      <c r="E112" s="77"/>
      <c r="F112" s="77"/>
      <c r="G112" s="77"/>
      <c r="H112" s="77"/>
      <c r="I112" s="77"/>
      <c r="J112" s="77">
        <f t="shared" si="19"/>
        <v>17500</v>
      </c>
      <c r="K112" s="77">
        <v>380</v>
      </c>
      <c r="L112" s="77">
        <f t="shared" si="12"/>
        <v>17120</v>
      </c>
      <c r="M112" s="78">
        <f t="shared" si="20"/>
        <v>5.305521602932111E-4</v>
      </c>
      <c r="N112" s="65"/>
      <c r="O112" s="65"/>
    </row>
    <row r="113" spans="1:15" ht="17.100000000000001" customHeight="1" x14ac:dyDescent="0.2">
      <c r="A113" s="88" t="s">
        <v>216</v>
      </c>
      <c r="B113" s="72" t="s">
        <v>217</v>
      </c>
      <c r="C113" s="77">
        <v>20500</v>
      </c>
      <c r="D113" s="77"/>
      <c r="E113" s="77"/>
      <c r="F113" s="77"/>
      <c r="G113" s="77"/>
      <c r="H113" s="77"/>
      <c r="I113" s="77"/>
      <c r="J113" s="77">
        <f t="shared" si="19"/>
        <v>20500</v>
      </c>
      <c r="K113" s="77">
        <v>0</v>
      </c>
      <c r="L113" s="77">
        <f t="shared" si="12"/>
        <v>20500</v>
      </c>
      <c r="M113" s="78"/>
      <c r="N113" s="65"/>
      <c r="O113" s="65"/>
    </row>
    <row r="114" spans="1:15" ht="17.100000000000001" customHeight="1" x14ac:dyDescent="0.2">
      <c r="A114" s="88" t="s">
        <v>218</v>
      </c>
      <c r="B114" s="72" t="s">
        <v>219</v>
      </c>
      <c r="C114" s="77">
        <v>2784974.71</v>
      </c>
      <c r="D114" s="77"/>
      <c r="E114" s="77"/>
      <c r="F114" s="77"/>
      <c r="G114" s="77"/>
      <c r="H114" s="77"/>
      <c r="I114" s="77"/>
      <c r="J114" s="77">
        <f t="shared" si="19"/>
        <v>2784974.71</v>
      </c>
      <c r="K114" s="77">
        <v>0</v>
      </c>
      <c r="L114" s="77">
        <f t="shared" si="12"/>
        <v>2784974.71</v>
      </c>
      <c r="M114" s="78"/>
      <c r="N114" s="65"/>
      <c r="O114" s="65"/>
    </row>
    <row r="115" spans="1:15" ht="17.100000000000001" customHeight="1" x14ac:dyDescent="0.2">
      <c r="A115" s="88"/>
      <c r="B115" s="72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8"/>
      <c r="N115" s="65"/>
      <c r="O115" s="65"/>
    </row>
    <row r="116" spans="1:15" ht="17.100000000000001" customHeight="1" x14ac:dyDescent="0.25">
      <c r="A116" s="86">
        <v>4</v>
      </c>
      <c r="B116" s="87" t="s">
        <v>86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8"/>
      <c r="N116" s="65"/>
      <c r="O116" s="65"/>
    </row>
    <row r="117" spans="1:15" ht="17.100000000000001" customHeight="1" x14ac:dyDescent="0.2">
      <c r="A117" s="88" t="s">
        <v>220</v>
      </c>
      <c r="B117" s="72" t="s">
        <v>221</v>
      </c>
      <c r="C117" s="77">
        <v>20750</v>
      </c>
      <c r="D117" s="77"/>
      <c r="E117" s="77"/>
      <c r="F117" s="77"/>
      <c r="G117" s="77"/>
      <c r="H117" s="77"/>
      <c r="I117" s="77"/>
      <c r="J117" s="77">
        <f t="shared" si="19"/>
        <v>20750</v>
      </c>
      <c r="K117" s="77">
        <v>0</v>
      </c>
      <c r="L117" s="77">
        <f t="shared" si="12"/>
        <v>20750</v>
      </c>
      <c r="M117" s="78">
        <f>K117/$K$123</f>
        <v>0</v>
      </c>
      <c r="N117" s="65"/>
      <c r="O117" s="65"/>
    </row>
    <row r="118" spans="1:15" ht="17.100000000000001" customHeight="1" x14ac:dyDescent="0.2">
      <c r="A118" s="88" t="s">
        <v>222</v>
      </c>
      <c r="B118" s="72" t="s">
        <v>223</v>
      </c>
      <c r="C118" s="77">
        <v>7600</v>
      </c>
      <c r="D118" s="77"/>
      <c r="E118" s="77"/>
      <c r="F118" s="77"/>
      <c r="G118" s="77"/>
      <c r="H118" s="77"/>
      <c r="I118" s="77"/>
      <c r="J118" s="77">
        <f t="shared" si="19"/>
        <v>7600</v>
      </c>
      <c r="K118" s="77">
        <v>0</v>
      </c>
      <c r="L118" s="77">
        <f t="shared" si="12"/>
        <v>7600</v>
      </c>
      <c r="M118" s="78">
        <f>K118/$K$123</f>
        <v>0</v>
      </c>
      <c r="N118" s="65"/>
      <c r="O118" s="65"/>
    </row>
    <row r="119" spans="1:15" ht="17.100000000000001" customHeight="1" x14ac:dyDescent="0.2">
      <c r="A119" s="88" t="s">
        <v>224</v>
      </c>
      <c r="B119" s="72" t="s">
        <v>240</v>
      </c>
      <c r="C119" s="77">
        <v>9600</v>
      </c>
      <c r="D119" s="77"/>
      <c r="E119" s="77"/>
      <c r="F119" s="77"/>
      <c r="G119" s="77"/>
      <c r="H119" s="77"/>
      <c r="I119" s="77"/>
      <c r="J119" s="77">
        <f t="shared" si="19"/>
        <v>9600</v>
      </c>
      <c r="K119" s="77">
        <v>3200</v>
      </c>
      <c r="L119" s="77">
        <f t="shared" si="12"/>
        <v>6400</v>
      </c>
      <c r="M119" s="78">
        <f>K119/$K$123</f>
        <v>4.4678076656270403E-3</v>
      </c>
      <c r="N119" s="65"/>
      <c r="O119" s="65"/>
    </row>
    <row r="120" spans="1:15" ht="17.100000000000001" customHeight="1" x14ac:dyDescent="0.2">
      <c r="A120" s="88" t="s">
        <v>226</v>
      </c>
      <c r="B120" s="72" t="s">
        <v>227</v>
      </c>
      <c r="C120" s="77">
        <v>0</v>
      </c>
      <c r="D120" s="77">
        <v>20000</v>
      </c>
      <c r="E120" s="77"/>
      <c r="F120" s="77"/>
      <c r="G120" s="77"/>
      <c r="H120" s="77"/>
      <c r="I120" s="77"/>
      <c r="J120" s="77">
        <f t="shared" si="19"/>
        <v>20000</v>
      </c>
      <c r="K120" s="77">
        <v>0</v>
      </c>
      <c r="L120" s="77">
        <f t="shared" si="12"/>
        <v>20000</v>
      </c>
      <c r="M120" s="78">
        <f>K120/$K$123</f>
        <v>0</v>
      </c>
      <c r="N120" s="65"/>
      <c r="O120" s="65"/>
    </row>
    <row r="121" spans="1:15" s="65" customFormat="1" ht="17.100000000000001" customHeight="1" x14ac:dyDescent="0.2">
      <c r="A121" s="88" t="s">
        <v>228</v>
      </c>
      <c r="B121" s="72" t="s">
        <v>87</v>
      </c>
      <c r="C121" s="89">
        <v>11050</v>
      </c>
      <c r="D121" s="89"/>
      <c r="E121" s="89"/>
      <c r="F121" s="89"/>
      <c r="G121" s="89"/>
      <c r="H121" s="89"/>
      <c r="I121" s="89"/>
      <c r="J121" s="89">
        <f t="shared" si="19"/>
        <v>11050</v>
      </c>
      <c r="K121" s="89">
        <v>806.89</v>
      </c>
      <c r="L121" s="89">
        <f t="shared" si="12"/>
        <v>10243.11</v>
      </c>
      <c r="M121" s="78">
        <f>K121/$K$123</f>
        <v>1.1265716647868133E-3</v>
      </c>
    </row>
    <row r="122" spans="1:15" s="65" customFormat="1" ht="17.100000000000001" customHeight="1" thickBot="1" x14ac:dyDescent="0.25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3"/>
    </row>
    <row r="123" spans="1:15" s="65" customFormat="1" ht="17.100000000000001" customHeight="1" thickBot="1" x14ac:dyDescent="0.3">
      <c r="A123" s="80"/>
      <c r="B123" s="80" t="s">
        <v>88</v>
      </c>
      <c r="C123" s="81">
        <f>SUM(C25:C122)</f>
        <v>10804273.189999999</v>
      </c>
      <c r="D123" s="81">
        <f t="shared" ref="D123:E123" si="21">SUM(D25:D122)</f>
        <v>191539.09</v>
      </c>
      <c r="E123" s="81">
        <f t="shared" si="21"/>
        <v>94829</v>
      </c>
      <c r="F123" s="81">
        <v>0</v>
      </c>
      <c r="G123" s="81">
        <v>0</v>
      </c>
      <c r="H123" s="81">
        <v>0</v>
      </c>
      <c r="I123" s="81">
        <v>0</v>
      </c>
      <c r="J123" s="81">
        <f>SUM(J25:J122)</f>
        <v>10900983.280000001</v>
      </c>
      <c r="K123" s="81">
        <f>SUM(K25:K122)</f>
        <v>716234.95</v>
      </c>
      <c r="L123" s="81">
        <f>SUM(L25:L122)</f>
        <v>10184748.33</v>
      </c>
      <c r="M123" s="94">
        <v>1</v>
      </c>
    </row>
    <row r="124" spans="1:15" s="65" customFormat="1" ht="15" x14ac:dyDescent="0.2">
      <c r="C124" s="95"/>
      <c r="D124" s="96"/>
      <c r="E124" s="97"/>
      <c r="F124" s="97"/>
      <c r="G124" s="97"/>
      <c r="H124" s="97"/>
      <c r="I124" s="97"/>
      <c r="J124" s="95"/>
      <c r="K124" s="98"/>
      <c r="L124" s="97"/>
    </row>
    <row r="125" spans="1:15" s="65" customFormat="1" ht="15.75" thickBot="1" x14ac:dyDescent="0.25">
      <c r="C125" s="97"/>
      <c r="D125" s="97"/>
      <c r="E125" s="97"/>
      <c r="F125" s="97"/>
      <c r="G125" s="97"/>
      <c r="H125" s="97"/>
      <c r="I125" s="97"/>
      <c r="J125" s="99"/>
      <c r="K125" s="99"/>
      <c r="L125" s="97"/>
    </row>
    <row r="126" spans="1:15" s="65" customFormat="1" ht="15.75" x14ac:dyDescent="0.25">
      <c r="A126" s="100" t="s">
        <v>89</v>
      </c>
      <c r="B126" s="101"/>
      <c r="C126" s="102"/>
      <c r="D126" s="97"/>
      <c r="E126" s="97"/>
      <c r="F126" s="97"/>
      <c r="G126" s="97"/>
      <c r="H126" s="97"/>
      <c r="I126" s="97"/>
      <c r="J126" s="97"/>
      <c r="K126" s="99"/>
      <c r="L126" s="97"/>
    </row>
    <row r="127" spans="1:15" s="65" customFormat="1" ht="15.75" x14ac:dyDescent="0.25">
      <c r="A127" s="103" t="s">
        <v>3</v>
      </c>
      <c r="B127" s="104"/>
      <c r="C127" s="105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1:15" s="65" customFormat="1" ht="8.1" customHeight="1" thickBot="1" x14ac:dyDescent="0.25">
      <c r="A128" s="106"/>
      <c r="B128" s="107"/>
      <c r="C128" s="108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1:12" s="65" customFormat="1" ht="8.1" customHeight="1" x14ac:dyDescent="0.2">
      <c r="A129" s="109"/>
      <c r="B129" s="110"/>
      <c r="C129" s="111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1:12" s="65" customFormat="1" ht="15.95" customHeight="1" x14ac:dyDescent="0.2">
      <c r="A130" s="112" t="s">
        <v>90</v>
      </c>
      <c r="B130" s="113"/>
      <c r="C130" s="114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1:12" s="65" customFormat="1" ht="15.95" customHeight="1" x14ac:dyDescent="0.2">
      <c r="A131" s="115" t="s">
        <v>229</v>
      </c>
      <c r="B131" s="113"/>
      <c r="C131" s="61">
        <f>198363.1+404138.05-4196.85</f>
        <v>598304.30000000005</v>
      </c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1:12" s="65" customFormat="1" ht="15.95" customHeight="1" x14ac:dyDescent="0.2">
      <c r="A132" s="115" t="s">
        <v>91</v>
      </c>
      <c r="B132" s="113"/>
      <c r="C132" s="61">
        <f>+K20</f>
        <v>1082025.92</v>
      </c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1:12" s="65" customFormat="1" ht="15.95" customHeight="1" x14ac:dyDescent="0.2">
      <c r="A133" s="115" t="s">
        <v>92</v>
      </c>
      <c r="B133" s="113"/>
      <c r="C133" s="116">
        <f>-K123</f>
        <v>-716234.95</v>
      </c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1:12" s="65" customFormat="1" ht="15.95" customHeight="1" x14ac:dyDescent="0.25">
      <c r="A134" s="117" t="s">
        <v>93</v>
      </c>
      <c r="B134" s="118"/>
      <c r="C134" s="119">
        <f>SUM(C131:C133)</f>
        <v>964095.27</v>
      </c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1:12" s="65" customFormat="1" ht="8.1" customHeight="1" x14ac:dyDescent="0.25">
      <c r="A135" s="117"/>
      <c r="B135" s="118"/>
      <c r="C135" s="119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1:12" s="65" customFormat="1" ht="15.95" customHeight="1" x14ac:dyDescent="0.2">
      <c r="A136" s="112" t="s">
        <v>94</v>
      </c>
      <c r="B136" s="113"/>
      <c r="C136" s="61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1:12" s="65" customFormat="1" ht="15.95" customHeight="1" x14ac:dyDescent="0.2">
      <c r="A137" s="115" t="s">
        <v>95</v>
      </c>
      <c r="B137" s="113"/>
      <c r="C137" s="61">
        <v>3089.52</v>
      </c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1:12" s="65" customFormat="1" ht="15.95" customHeight="1" x14ac:dyDescent="0.2">
      <c r="A138" s="115" t="s">
        <v>96</v>
      </c>
      <c r="B138" s="113"/>
      <c r="C138" s="61">
        <v>219.61</v>
      </c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1:12" s="65" customFormat="1" ht="15.95" customHeight="1" x14ac:dyDescent="0.2">
      <c r="A139" s="115" t="s">
        <v>263</v>
      </c>
      <c r="B139" s="113"/>
      <c r="C139" s="61">
        <v>-140.18</v>
      </c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1:12" s="65" customFormat="1" ht="15.95" customHeight="1" x14ac:dyDescent="0.2">
      <c r="A140" s="115" t="s">
        <v>262</v>
      </c>
      <c r="B140" s="113"/>
      <c r="C140" s="61">
        <v>2846.25</v>
      </c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1:12" s="65" customFormat="1" ht="15.95" customHeight="1" x14ac:dyDescent="0.2">
      <c r="A141" s="115" t="s">
        <v>97</v>
      </c>
      <c r="B141" s="113"/>
      <c r="C141" s="61">
        <v>19504.3</v>
      </c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1:12" s="65" customFormat="1" ht="5.0999999999999996" customHeight="1" x14ac:dyDescent="0.2">
      <c r="A142" s="115"/>
      <c r="B142" s="113"/>
      <c r="C142" s="116"/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1:12" s="65" customFormat="1" ht="15.75" x14ac:dyDescent="0.25">
      <c r="A143" s="117"/>
      <c r="B143" s="118"/>
      <c r="C143" s="119">
        <f>SUM(C137:C142)</f>
        <v>25519.5</v>
      </c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1:12" s="65" customFormat="1" ht="5.0999999999999996" customHeight="1" x14ac:dyDescent="0.25">
      <c r="A144" s="117"/>
      <c r="B144" s="118"/>
      <c r="C144" s="120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1:12" s="65" customFormat="1" ht="8.1" customHeight="1" x14ac:dyDescent="0.25">
      <c r="A145" s="117"/>
      <c r="B145" s="118"/>
      <c r="C145" s="119"/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1:12" s="65" customFormat="1" ht="16.5" thickBot="1" x14ac:dyDescent="0.3">
      <c r="A146" s="121" t="s">
        <v>252</v>
      </c>
      <c r="B146" s="122"/>
      <c r="C146" s="123">
        <f>C134+C143</f>
        <v>989614.77</v>
      </c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1:12" s="65" customFormat="1" ht="15" x14ac:dyDescent="0.2">
      <c r="C147" s="99"/>
      <c r="D147" s="97"/>
      <c r="E147" s="97"/>
      <c r="F147" s="97"/>
      <c r="G147" s="97"/>
      <c r="H147" s="97"/>
      <c r="I147" s="97"/>
      <c r="J147" s="97"/>
      <c r="K147" s="97"/>
      <c r="L147" s="97"/>
    </row>
    <row r="148" spans="1:12" s="65" customFormat="1" ht="15" x14ac:dyDescent="0.2">
      <c r="C148" s="97"/>
    </row>
    <row r="149" spans="1:12" s="65" customFormat="1" ht="15" x14ac:dyDescent="0.2">
      <c r="B149" s="65" t="s">
        <v>253</v>
      </c>
    </row>
    <row r="150" spans="1:12" s="65" customFormat="1" ht="15" x14ac:dyDescent="0.2"/>
    <row r="151" spans="1:12" s="65" customFormat="1" ht="15" x14ac:dyDescent="0.2"/>
    <row r="152" spans="1:12" s="65" customFormat="1" ht="15" x14ac:dyDescent="0.2"/>
    <row r="153" spans="1:12" s="65" customFormat="1" ht="15" x14ac:dyDescent="0.2"/>
    <row r="154" spans="1:12" s="65" customFormat="1" ht="15" x14ac:dyDescent="0.2"/>
    <row r="155" spans="1:12" s="65" customFormat="1" ht="15" x14ac:dyDescent="0.2"/>
    <row r="156" spans="1:12" s="65" customFormat="1" ht="15" x14ac:dyDescent="0.2">
      <c r="B156" s="65" t="s">
        <v>98</v>
      </c>
      <c r="F156" s="65" t="s">
        <v>99</v>
      </c>
      <c r="I156" s="124" t="s">
        <v>104</v>
      </c>
    </row>
    <row r="157" spans="1:12" s="65" customFormat="1" ht="15" x14ac:dyDescent="0.2">
      <c r="B157" s="65" t="s">
        <v>100</v>
      </c>
      <c r="F157" s="65" t="s">
        <v>101</v>
      </c>
      <c r="I157" s="124" t="s">
        <v>105</v>
      </c>
    </row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9370078740157483" footer="0.39370078740157483"/>
  <pageSetup scale="61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showGridLines="0" topLeftCell="A125" zoomScale="85" zoomScaleNormal="85" workbookViewId="0">
      <selection activeCell="C148" sqref="C148"/>
    </sheetView>
  </sheetViews>
  <sheetFormatPr baseColWidth="10" defaultRowHeight="14.25" x14ac:dyDescent="0.2"/>
  <cols>
    <col min="1" max="1" width="11.7109375" style="66" customWidth="1"/>
    <col min="2" max="2" width="48.7109375" style="66" customWidth="1"/>
    <col min="3" max="3" width="16.28515625" style="66" customWidth="1"/>
    <col min="4" max="9" width="15.7109375" style="66" customWidth="1"/>
    <col min="10" max="10" width="16.28515625" style="66" customWidth="1"/>
    <col min="11" max="11" width="15.7109375" style="66" customWidth="1"/>
    <col min="12" max="12" width="16.28515625" style="66" customWidth="1"/>
    <col min="13" max="13" width="10.7109375" style="66" customWidth="1"/>
    <col min="14" max="14" width="7" style="66" customWidth="1"/>
    <col min="15" max="15" width="18.7109375" style="66" customWidth="1"/>
    <col min="16" max="16384" width="11.42578125" style="66"/>
  </cols>
  <sheetData>
    <row r="1" spans="1:15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</row>
    <row r="2" spans="1:15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</row>
    <row r="3" spans="1:15" ht="15.75" x14ac:dyDescent="0.25">
      <c r="A3" s="64" t="s">
        <v>264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</row>
    <row r="4" spans="1:15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5"/>
    </row>
    <row r="5" spans="1:15" ht="15.7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6.5" thickBot="1" x14ac:dyDescent="0.3">
      <c r="A6" s="67" t="s">
        <v>102</v>
      </c>
      <c r="B6" s="181" t="s">
        <v>5</v>
      </c>
      <c r="C6" s="68" t="s">
        <v>6</v>
      </c>
      <c r="D6" s="69" t="s">
        <v>7</v>
      </c>
      <c r="E6" s="69"/>
      <c r="F6" s="69" t="s">
        <v>8</v>
      </c>
      <c r="G6" s="69"/>
      <c r="H6" s="69" t="s">
        <v>9</v>
      </c>
      <c r="I6" s="69"/>
      <c r="J6" s="67" t="s">
        <v>6</v>
      </c>
      <c r="K6" s="183" t="s">
        <v>10</v>
      </c>
      <c r="L6" s="67" t="s">
        <v>11</v>
      </c>
      <c r="M6" s="68" t="s">
        <v>12</v>
      </c>
      <c r="N6" s="65"/>
      <c r="O6" s="65"/>
    </row>
    <row r="7" spans="1:15" ht="16.5" thickBot="1" x14ac:dyDescent="0.3">
      <c r="A7" s="70" t="s">
        <v>103</v>
      </c>
      <c r="B7" s="182"/>
      <c r="C7" s="70" t="s">
        <v>13</v>
      </c>
      <c r="D7" s="70" t="s">
        <v>14</v>
      </c>
      <c r="E7" s="70" t="s">
        <v>15</v>
      </c>
      <c r="F7" s="70" t="s">
        <v>14</v>
      </c>
      <c r="G7" s="70" t="s">
        <v>15</v>
      </c>
      <c r="H7" s="70" t="s">
        <v>14</v>
      </c>
      <c r="I7" s="70" t="s">
        <v>15</v>
      </c>
      <c r="J7" s="70" t="s">
        <v>16</v>
      </c>
      <c r="K7" s="184"/>
      <c r="L7" s="70" t="s">
        <v>17</v>
      </c>
      <c r="M7" s="71" t="s">
        <v>18</v>
      </c>
      <c r="N7" s="65"/>
      <c r="O7" s="65"/>
    </row>
    <row r="8" spans="1:15" s="113" customFormat="1" ht="8.1" customHeight="1" x14ac:dyDescent="0.2">
      <c r="A8" s="91"/>
      <c r="B8" s="9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91"/>
    </row>
    <row r="9" spans="1:15" s="113" customFormat="1" ht="17.100000000000001" customHeight="1" x14ac:dyDescent="0.25">
      <c r="A9" s="73"/>
      <c r="B9" s="74" t="s">
        <v>19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3"/>
    </row>
    <row r="10" spans="1:15" s="65" customFormat="1" ht="17.100000000000001" customHeight="1" x14ac:dyDescent="0.25">
      <c r="A10" s="72"/>
      <c r="B10" s="76" t="s">
        <v>20</v>
      </c>
      <c r="C10" s="77">
        <f>198363.1+404138.05</f>
        <v>602501.15</v>
      </c>
      <c r="D10" s="77"/>
      <c r="E10" s="77">
        <v>4196.8500000000004</v>
      </c>
      <c r="F10" s="77"/>
      <c r="G10" s="77"/>
      <c r="H10" s="77"/>
      <c r="I10" s="77"/>
      <c r="J10" s="77">
        <f>C10+D10-E10+F10-G10+H10-I10</f>
        <v>598304.30000000005</v>
      </c>
      <c r="K10" s="77">
        <v>0</v>
      </c>
      <c r="L10" s="77">
        <f>J10-K10</f>
        <v>598304.30000000005</v>
      </c>
      <c r="M10" s="78">
        <f>K10/$K$20</f>
        <v>0</v>
      </c>
    </row>
    <row r="11" spans="1:15" s="65" customFormat="1" ht="17.100000000000001" customHeight="1" x14ac:dyDescent="0.2">
      <c r="A11" s="72" t="s">
        <v>241</v>
      </c>
      <c r="B11" s="72" t="s">
        <v>265</v>
      </c>
      <c r="C11" s="77">
        <v>15000</v>
      </c>
      <c r="D11" s="77">
        <v>13000</v>
      </c>
      <c r="E11" s="77"/>
      <c r="F11" s="77"/>
      <c r="G11" s="77"/>
      <c r="H11" s="77"/>
      <c r="I11" s="77"/>
      <c r="J11" s="77">
        <f>C11+D11-E11+F11-G11+H11-I11</f>
        <v>28000</v>
      </c>
      <c r="K11" s="77">
        <f>18632+5000+3400+1600</f>
        <v>28632</v>
      </c>
      <c r="L11" s="77">
        <f>J11-K11</f>
        <v>-632</v>
      </c>
      <c r="M11" s="78">
        <f>K11/$K$20</f>
        <v>2.1937105402466545E-2</v>
      </c>
    </row>
    <row r="12" spans="1:15" s="65" customFormat="1" ht="17.100000000000001" customHeight="1" x14ac:dyDescent="0.2">
      <c r="A12" s="72" t="s">
        <v>242</v>
      </c>
      <c r="B12" s="72" t="s">
        <v>266</v>
      </c>
      <c r="C12" s="77">
        <v>65000</v>
      </c>
      <c r="D12" s="77"/>
      <c r="E12" s="77"/>
      <c r="F12" s="77"/>
      <c r="G12" s="77"/>
      <c r="H12" s="77"/>
      <c r="I12" s="77"/>
      <c r="J12" s="77">
        <f t="shared" ref="J12:J19" si="0">C12+D12-E12+F12-G12+H12-I12</f>
        <v>65000</v>
      </c>
      <c r="K12" s="77">
        <f>534+323+1088+416</f>
        <v>2361</v>
      </c>
      <c r="L12" s="77">
        <f t="shared" ref="L12:L14" si="1">J12-K12</f>
        <v>62639</v>
      </c>
      <c r="M12" s="78">
        <f t="shared" ref="M12:M19" si="2">K12/$K$20</f>
        <v>1.8089377568882199E-3</v>
      </c>
    </row>
    <row r="13" spans="1:15" s="65" customFormat="1" ht="17.100000000000001" customHeight="1" x14ac:dyDescent="0.2">
      <c r="A13" s="79" t="s">
        <v>243</v>
      </c>
      <c r="B13" s="72" t="s">
        <v>267</v>
      </c>
      <c r="C13" s="77">
        <v>3500</v>
      </c>
      <c r="D13" s="77"/>
      <c r="E13" s="77"/>
      <c r="F13" s="77"/>
      <c r="G13" s="77"/>
      <c r="H13" s="77"/>
      <c r="I13" s="77"/>
      <c r="J13" s="77">
        <f t="shared" si="0"/>
        <v>3500</v>
      </c>
      <c r="K13" s="77">
        <v>0</v>
      </c>
      <c r="L13" s="77">
        <f t="shared" si="1"/>
        <v>3500</v>
      </c>
      <c r="M13" s="78">
        <f t="shared" si="2"/>
        <v>0</v>
      </c>
    </row>
    <row r="14" spans="1:15" s="65" customFormat="1" ht="17.100000000000001" customHeight="1" x14ac:dyDescent="0.2">
      <c r="A14" s="79">
        <v>15.1</v>
      </c>
      <c r="B14" s="72" t="s">
        <v>247</v>
      </c>
      <c r="C14" s="77">
        <v>3000</v>
      </c>
      <c r="D14" s="77"/>
      <c r="E14" s="77"/>
      <c r="F14" s="77"/>
      <c r="G14" s="77"/>
      <c r="H14" s="77"/>
      <c r="I14" s="77"/>
      <c r="J14" s="77">
        <f t="shared" si="0"/>
        <v>3000</v>
      </c>
      <c r="K14" s="77">
        <f>124.33+112.98+208.84+38.13</f>
        <v>484.28</v>
      </c>
      <c r="L14" s="77">
        <f t="shared" si="1"/>
        <v>2515.7200000000003</v>
      </c>
      <c r="M14" s="78">
        <f t="shared" si="2"/>
        <v>3.7104293812190896E-4</v>
      </c>
    </row>
    <row r="15" spans="1:15" s="65" customFormat="1" ht="17.100000000000001" customHeight="1" x14ac:dyDescent="0.2">
      <c r="A15" s="72" t="s">
        <v>24</v>
      </c>
      <c r="B15" s="72" t="s">
        <v>25</v>
      </c>
      <c r="C15" s="77">
        <v>2745062.93</v>
      </c>
      <c r="D15" s="77">
        <v>95966.17</v>
      </c>
      <c r="E15" s="77"/>
      <c r="F15" s="77"/>
      <c r="G15" s="77"/>
      <c r="H15" s="77"/>
      <c r="I15" s="77"/>
      <c r="J15" s="77">
        <f t="shared" si="0"/>
        <v>2841029.1</v>
      </c>
      <c r="K15" s="77">
        <f>217424.77+238817.38+250602.62+215600.82</f>
        <v>922445.59000000008</v>
      </c>
      <c r="L15" s="77">
        <f>J15-K15</f>
        <v>1918583.51</v>
      </c>
      <c r="M15" s="78">
        <f t="shared" si="2"/>
        <v>0.70675419586024169</v>
      </c>
    </row>
    <row r="16" spans="1:15" s="65" customFormat="1" ht="17.100000000000001" customHeight="1" x14ac:dyDescent="0.2">
      <c r="A16" s="72" t="s">
        <v>26</v>
      </c>
      <c r="B16" s="72" t="s">
        <v>27</v>
      </c>
      <c r="C16" s="77">
        <v>4934974.71</v>
      </c>
      <c r="D16" s="77"/>
      <c r="E16" s="77"/>
      <c r="F16" s="77"/>
      <c r="G16" s="77"/>
      <c r="H16" s="77"/>
      <c r="I16" s="77"/>
      <c r="J16" s="77">
        <f t="shared" si="0"/>
        <v>4934974.71</v>
      </c>
      <c r="K16" s="77">
        <v>0</v>
      </c>
      <c r="L16" s="77">
        <f t="shared" ref="L16:L19" si="3">J16-K16</f>
        <v>4934974.71</v>
      </c>
      <c r="M16" s="78">
        <f t="shared" si="2"/>
        <v>0</v>
      </c>
    </row>
    <row r="17" spans="1:13" s="65" customFormat="1" ht="17.100000000000001" customHeight="1" x14ac:dyDescent="0.2">
      <c r="A17" s="72" t="s">
        <v>28</v>
      </c>
      <c r="B17" s="72" t="s">
        <v>29</v>
      </c>
      <c r="C17" s="77">
        <v>1290000</v>
      </c>
      <c r="D17" s="77"/>
      <c r="E17" s="77">
        <v>8059.23</v>
      </c>
      <c r="F17" s="77"/>
      <c r="G17" s="77"/>
      <c r="H17" s="77"/>
      <c r="I17" s="77"/>
      <c r="J17" s="77">
        <f t="shared" si="0"/>
        <v>1281940.77</v>
      </c>
      <c r="K17" s="77">
        <f>345758+5505</f>
        <v>351263</v>
      </c>
      <c r="L17" s="77">
        <f t="shared" si="3"/>
        <v>930677.77</v>
      </c>
      <c r="M17" s="78">
        <f t="shared" si="2"/>
        <v>0.26912871804228156</v>
      </c>
    </row>
    <row r="18" spans="1:13" s="65" customFormat="1" ht="17.100000000000001" customHeight="1" x14ac:dyDescent="0.2">
      <c r="A18" s="72" t="s">
        <v>30</v>
      </c>
      <c r="B18" s="72" t="s">
        <v>31</v>
      </c>
      <c r="C18" s="77">
        <v>20000</v>
      </c>
      <c r="D18" s="77"/>
      <c r="E18" s="77"/>
      <c r="F18" s="77"/>
      <c r="G18" s="77"/>
      <c r="H18" s="77"/>
      <c r="I18" s="77"/>
      <c r="J18" s="77">
        <f t="shared" si="0"/>
        <v>20000</v>
      </c>
      <c r="K18" s="77">
        <v>0</v>
      </c>
      <c r="L18" s="77">
        <f t="shared" si="3"/>
        <v>20000</v>
      </c>
      <c r="M18" s="78">
        <f t="shared" si="2"/>
        <v>0</v>
      </c>
    </row>
    <row r="19" spans="1:13" s="65" customFormat="1" ht="17.100000000000001" customHeight="1" thickBot="1" x14ac:dyDescent="0.25">
      <c r="A19" s="72"/>
      <c r="B19" s="72" t="s">
        <v>32</v>
      </c>
      <c r="C19" s="77">
        <f>850000+14137.2+261097.2</f>
        <v>1125234.3999999999</v>
      </c>
      <c r="D19" s="77"/>
      <c r="E19" s="77"/>
      <c r="F19" s="77"/>
      <c r="G19" s="77"/>
      <c r="H19" s="77"/>
      <c r="I19" s="77"/>
      <c r="J19" s="77">
        <f t="shared" si="0"/>
        <v>1125234.3999999999</v>
      </c>
      <c r="K19" s="77">
        <v>0</v>
      </c>
      <c r="L19" s="77">
        <f t="shared" si="3"/>
        <v>1125234.3999999999</v>
      </c>
      <c r="M19" s="78">
        <f t="shared" si="2"/>
        <v>0</v>
      </c>
    </row>
    <row r="20" spans="1:13" s="65" customFormat="1" ht="17.100000000000001" customHeight="1" thickBot="1" x14ac:dyDescent="0.3">
      <c r="A20" s="80"/>
      <c r="B20" s="80" t="s">
        <v>33</v>
      </c>
      <c r="C20" s="81">
        <f>SUM(C10:C19)</f>
        <v>10804273.189999999</v>
      </c>
      <c r="D20" s="81">
        <f t="shared" ref="D20:E20" si="4">SUM(D10:D19)</f>
        <v>108966.17</v>
      </c>
      <c r="E20" s="81">
        <f t="shared" si="4"/>
        <v>12256.08</v>
      </c>
      <c r="F20" s="81">
        <f t="shared" ref="F20:I20" si="5">SUM(F11:F18)</f>
        <v>0</v>
      </c>
      <c r="G20" s="81">
        <f t="shared" si="5"/>
        <v>0</v>
      </c>
      <c r="H20" s="81">
        <f t="shared" si="5"/>
        <v>0</v>
      </c>
      <c r="I20" s="81">
        <f t="shared" si="5"/>
        <v>0</v>
      </c>
      <c r="J20" s="81">
        <f>SUM(J10:J19)</f>
        <v>10900983.279999999</v>
      </c>
      <c r="K20" s="81">
        <f>SUM(K10:K19)</f>
        <v>1305185.8700000001</v>
      </c>
      <c r="L20" s="81">
        <f>SUM(L10:L19)</f>
        <v>9595797.4100000001</v>
      </c>
      <c r="M20" s="82">
        <v>0</v>
      </c>
    </row>
    <row r="21" spans="1:13" s="113" customFormat="1" ht="8.1" customHeight="1" x14ac:dyDescent="0.2">
      <c r="A21" s="126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8"/>
    </row>
    <row r="22" spans="1:13" s="113" customFormat="1" ht="17.100000000000001" customHeight="1" x14ac:dyDescent="0.25">
      <c r="A22" s="129" t="s">
        <v>4</v>
      </c>
      <c r="B22" s="74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3" s="65" customFormat="1" ht="17.100000000000001" customHeight="1" x14ac:dyDescent="0.25">
      <c r="A23" s="76"/>
      <c r="B23" s="8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s="65" customFormat="1" ht="17.100000000000001" customHeight="1" x14ac:dyDescent="0.25">
      <c r="A24" s="86">
        <v>0</v>
      </c>
      <c r="B24" s="87" t="s">
        <v>35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s="65" customFormat="1" ht="17.100000000000001" customHeight="1" x14ac:dyDescent="0.2">
      <c r="A25" s="88" t="s">
        <v>36</v>
      </c>
      <c r="B25" s="72" t="s">
        <v>106</v>
      </c>
      <c r="C25" s="77">
        <v>773194.52</v>
      </c>
      <c r="D25" s="77"/>
      <c r="E25" s="77"/>
      <c r="F25" s="77"/>
      <c r="G25" s="77"/>
      <c r="H25" s="77"/>
      <c r="I25" s="77"/>
      <c r="J25" s="77">
        <f t="shared" ref="J25:J36" si="6">C25+D25-E25+F25-G25+H25-I25</f>
        <v>773194.52</v>
      </c>
      <c r="K25" s="77">
        <v>237904.84</v>
      </c>
      <c r="L25" s="77">
        <f t="shared" ref="L25:L88" si="7">J25-K25</f>
        <v>535289.68000000005</v>
      </c>
      <c r="M25" s="78">
        <f t="shared" ref="M25:M36" si="8">K25/$K$123</f>
        <v>0.27861782185328093</v>
      </c>
    </row>
    <row r="26" spans="1:13" s="65" customFormat="1" ht="17.100000000000001" customHeight="1" x14ac:dyDescent="0.2">
      <c r="A26" s="88" t="s">
        <v>37</v>
      </c>
      <c r="B26" s="72" t="s">
        <v>107</v>
      </c>
      <c r="C26" s="77">
        <v>4500</v>
      </c>
      <c r="D26" s="77"/>
      <c r="E26" s="77"/>
      <c r="F26" s="77"/>
      <c r="G26" s="77"/>
      <c r="H26" s="77"/>
      <c r="I26" s="77"/>
      <c r="J26" s="77">
        <f t="shared" si="6"/>
        <v>4500</v>
      </c>
      <c r="K26" s="77">
        <v>1500</v>
      </c>
      <c r="L26" s="77">
        <f t="shared" si="7"/>
        <v>3000</v>
      </c>
      <c r="M26" s="78">
        <f t="shared" si="8"/>
        <v>1.7566970591263358E-3</v>
      </c>
    </row>
    <row r="27" spans="1:13" s="65" customFormat="1" ht="17.100000000000001" customHeight="1" x14ac:dyDescent="0.2">
      <c r="A27" s="88" t="s">
        <v>38</v>
      </c>
      <c r="B27" s="72" t="s">
        <v>108</v>
      </c>
      <c r="C27" s="77">
        <v>140850</v>
      </c>
      <c r="D27" s="77"/>
      <c r="E27" s="77"/>
      <c r="F27" s="77"/>
      <c r="G27" s="77"/>
      <c r="H27" s="77"/>
      <c r="I27" s="77"/>
      <c r="J27" s="77">
        <f t="shared" si="6"/>
        <v>140850</v>
      </c>
      <c r="K27" s="77">
        <v>34000</v>
      </c>
      <c r="L27" s="77">
        <f t="shared" si="7"/>
        <v>106850</v>
      </c>
      <c r="M27" s="78">
        <f t="shared" si="8"/>
        <v>3.9818466673530277E-2</v>
      </c>
    </row>
    <row r="28" spans="1:13" s="65" customFormat="1" ht="17.100000000000001" hidden="1" customHeight="1" x14ac:dyDescent="0.2">
      <c r="A28" s="88" t="s">
        <v>39</v>
      </c>
      <c r="B28" s="72" t="s">
        <v>109</v>
      </c>
      <c r="C28" s="77">
        <v>0</v>
      </c>
      <c r="D28" s="77"/>
      <c r="E28" s="77"/>
      <c r="F28" s="77"/>
      <c r="G28" s="77"/>
      <c r="H28" s="77"/>
      <c r="I28" s="77"/>
      <c r="J28" s="77">
        <f t="shared" si="6"/>
        <v>0</v>
      </c>
      <c r="K28" s="77"/>
      <c r="L28" s="77">
        <f t="shared" si="7"/>
        <v>0</v>
      </c>
      <c r="M28" s="78">
        <f t="shared" si="8"/>
        <v>0</v>
      </c>
    </row>
    <row r="29" spans="1:13" s="65" customFormat="1" ht="17.100000000000001" hidden="1" customHeight="1" x14ac:dyDescent="0.2">
      <c r="A29" s="88" t="s">
        <v>40</v>
      </c>
      <c r="B29" s="72" t="s">
        <v>109</v>
      </c>
      <c r="C29" s="77">
        <v>0</v>
      </c>
      <c r="D29" s="77"/>
      <c r="E29" s="77"/>
      <c r="F29" s="77"/>
      <c r="G29" s="77"/>
      <c r="H29" s="77"/>
      <c r="I29" s="77"/>
      <c r="J29" s="77">
        <f t="shared" si="6"/>
        <v>0</v>
      </c>
      <c r="K29" s="77">
        <v>0</v>
      </c>
      <c r="L29" s="77">
        <f t="shared" si="7"/>
        <v>0</v>
      </c>
      <c r="M29" s="78">
        <f t="shared" si="8"/>
        <v>0</v>
      </c>
    </row>
    <row r="30" spans="1:13" s="65" customFormat="1" ht="17.100000000000001" customHeight="1" x14ac:dyDescent="0.2">
      <c r="A30" s="88" t="s">
        <v>41</v>
      </c>
      <c r="B30" s="72" t="s">
        <v>110</v>
      </c>
      <c r="C30" s="77">
        <v>15400</v>
      </c>
      <c r="D30" s="77"/>
      <c r="E30" s="77"/>
      <c r="F30" s="77"/>
      <c r="G30" s="77"/>
      <c r="H30" s="77"/>
      <c r="I30" s="77"/>
      <c r="J30" s="77">
        <f t="shared" si="6"/>
        <v>15400</v>
      </c>
      <c r="K30" s="77">
        <v>0</v>
      </c>
      <c r="L30" s="77">
        <f t="shared" si="7"/>
        <v>15400</v>
      </c>
      <c r="M30" s="78">
        <f t="shared" si="8"/>
        <v>0</v>
      </c>
    </row>
    <row r="31" spans="1:13" s="65" customFormat="1" ht="17.100000000000001" customHeight="1" x14ac:dyDescent="0.2">
      <c r="A31" s="88" t="s">
        <v>42</v>
      </c>
      <c r="B31" s="72" t="s">
        <v>111</v>
      </c>
      <c r="C31" s="77">
        <v>42629.35</v>
      </c>
      <c r="D31" s="77"/>
      <c r="E31" s="77"/>
      <c r="F31" s="77"/>
      <c r="G31" s="77"/>
      <c r="H31" s="77"/>
      <c r="I31" s="77"/>
      <c r="J31" s="77">
        <f t="shared" si="6"/>
        <v>42629.35</v>
      </c>
      <c r="K31" s="77">
        <v>9770.65</v>
      </c>
      <c r="L31" s="77">
        <f t="shared" si="7"/>
        <v>32858.699999999997</v>
      </c>
      <c r="M31" s="78">
        <f t="shared" si="8"/>
        <v>1.1442714747168488E-2</v>
      </c>
    </row>
    <row r="32" spans="1:13" s="65" customFormat="1" ht="17.100000000000001" customHeight="1" x14ac:dyDescent="0.2">
      <c r="A32" s="88" t="s">
        <v>43</v>
      </c>
      <c r="B32" s="72" t="s">
        <v>234</v>
      </c>
      <c r="C32" s="77">
        <v>89741</v>
      </c>
      <c r="D32" s="77"/>
      <c r="E32" s="77"/>
      <c r="F32" s="77"/>
      <c r="G32" s="77"/>
      <c r="H32" s="77"/>
      <c r="I32" s="77"/>
      <c r="J32" s="77">
        <f t="shared" si="6"/>
        <v>89741</v>
      </c>
      <c r="K32" s="77">
        <v>19981</v>
      </c>
      <c r="L32" s="77">
        <f t="shared" si="7"/>
        <v>69760</v>
      </c>
      <c r="M32" s="78">
        <f t="shared" si="8"/>
        <v>2.3400375958935543E-2</v>
      </c>
    </row>
    <row r="33" spans="1:15" ht="17.100000000000001" customHeight="1" x14ac:dyDescent="0.2">
      <c r="A33" s="88" t="s">
        <v>44</v>
      </c>
      <c r="B33" s="72" t="s">
        <v>235</v>
      </c>
      <c r="C33" s="77">
        <v>7478.416666666667</v>
      </c>
      <c r="D33" s="77"/>
      <c r="E33" s="77"/>
      <c r="F33" s="77"/>
      <c r="G33" s="77"/>
      <c r="H33" s="77"/>
      <c r="I33" s="77"/>
      <c r="J33" s="77">
        <f t="shared" si="6"/>
        <v>7478.416666666667</v>
      </c>
      <c r="K33" s="77">
        <v>1872.63</v>
      </c>
      <c r="L33" s="77">
        <f t="shared" si="7"/>
        <v>5605.7866666666669</v>
      </c>
      <c r="M33" s="78">
        <f t="shared" si="8"/>
        <v>2.1930957425545E-3</v>
      </c>
      <c r="N33" s="65"/>
      <c r="O33" s="65"/>
    </row>
    <row r="34" spans="1:15" ht="17.100000000000001" customHeight="1" x14ac:dyDescent="0.2">
      <c r="A34" s="88" t="s">
        <v>45</v>
      </c>
      <c r="B34" s="72" t="s">
        <v>46</v>
      </c>
      <c r="C34" s="77">
        <v>64432.876666666663</v>
      </c>
      <c r="D34" s="77"/>
      <c r="E34" s="77"/>
      <c r="F34" s="77"/>
      <c r="G34" s="77"/>
      <c r="H34" s="77"/>
      <c r="I34" s="77"/>
      <c r="J34" s="77">
        <f t="shared" si="6"/>
        <v>64432.876666666663</v>
      </c>
      <c r="K34" s="77">
        <v>0</v>
      </c>
      <c r="L34" s="77">
        <f t="shared" si="7"/>
        <v>64432.876666666663</v>
      </c>
      <c r="M34" s="78">
        <f t="shared" si="8"/>
        <v>0</v>
      </c>
      <c r="N34" s="65"/>
      <c r="O34" s="65"/>
    </row>
    <row r="35" spans="1:15" ht="17.100000000000001" customHeight="1" x14ac:dyDescent="0.2">
      <c r="A35" s="88" t="s">
        <v>47</v>
      </c>
      <c r="B35" s="72" t="s">
        <v>114</v>
      </c>
      <c r="C35" s="77">
        <v>64432.876666666663</v>
      </c>
      <c r="D35" s="77"/>
      <c r="E35" s="77"/>
      <c r="F35" s="77"/>
      <c r="G35" s="77"/>
      <c r="H35" s="77"/>
      <c r="I35" s="77"/>
      <c r="J35" s="77">
        <f t="shared" si="6"/>
        <v>64432.876666666663</v>
      </c>
      <c r="K35" s="77">
        <v>0</v>
      </c>
      <c r="L35" s="77">
        <f t="shared" si="7"/>
        <v>64432.876666666663</v>
      </c>
      <c r="M35" s="78">
        <f t="shared" si="8"/>
        <v>0</v>
      </c>
      <c r="N35" s="65"/>
      <c r="O35" s="65"/>
    </row>
    <row r="36" spans="1:15" ht="17.100000000000001" customHeight="1" x14ac:dyDescent="0.2">
      <c r="A36" s="88" t="s">
        <v>48</v>
      </c>
      <c r="B36" s="72" t="s">
        <v>49</v>
      </c>
      <c r="C36" s="77">
        <v>4000</v>
      </c>
      <c r="D36" s="77"/>
      <c r="E36" s="77"/>
      <c r="F36" s="77"/>
      <c r="G36" s="77"/>
      <c r="H36" s="77"/>
      <c r="I36" s="77"/>
      <c r="J36" s="77">
        <f t="shared" si="6"/>
        <v>4000</v>
      </c>
      <c r="K36" s="77">
        <v>0</v>
      </c>
      <c r="L36" s="77">
        <f t="shared" si="7"/>
        <v>4000</v>
      </c>
      <c r="M36" s="78">
        <f t="shared" si="8"/>
        <v>0</v>
      </c>
      <c r="N36" s="65"/>
      <c r="O36" s="65"/>
    </row>
    <row r="37" spans="1:15" ht="17.100000000000001" customHeight="1" x14ac:dyDescent="0.2">
      <c r="A37" s="88"/>
      <c r="B37" s="7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65"/>
      <c r="O37" s="65"/>
    </row>
    <row r="38" spans="1:15" ht="17.100000000000001" customHeight="1" x14ac:dyDescent="0.25">
      <c r="A38" s="86">
        <v>1</v>
      </c>
      <c r="B38" s="87" t="s">
        <v>50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65"/>
      <c r="O38" s="65"/>
    </row>
    <row r="39" spans="1:15" ht="17.100000000000001" customHeight="1" x14ac:dyDescent="0.2">
      <c r="A39" s="88" t="s">
        <v>115</v>
      </c>
      <c r="B39" s="72" t="s">
        <v>51</v>
      </c>
      <c r="C39" s="77">
        <v>11723.320000000002</v>
      </c>
      <c r="D39" s="77"/>
      <c r="E39" s="77"/>
      <c r="F39" s="77"/>
      <c r="G39" s="77"/>
      <c r="H39" s="77"/>
      <c r="I39" s="77"/>
      <c r="J39" s="77">
        <f t="shared" ref="J39:J104" si="9">C39+D39-E39+F39-G39+H39-I39</f>
        <v>11723.320000000002</v>
      </c>
      <c r="K39" s="77">
        <v>1979.37</v>
      </c>
      <c r="L39" s="77">
        <f t="shared" si="7"/>
        <v>9743.9500000000007</v>
      </c>
      <c r="M39" s="78">
        <f t="shared" ref="M39:M72" si="10">K39/$K$123</f>
        <v>2.3181023052819298E-3</v>
      </c>
      <c r="N39" s="65"/>
      <c r="O39" s="65"/>
    </row>
    <row r="40" spans="1:15" ht="17.100000000000001" customHeight="1" x14ac:dyDescent="0.2">
      <c r="A40" s="88" t="s">
        <v>116</v>
      </c>
      <c r="B40" s="72" t="s">
        <v>52</v>
      </c>
      <c r="C40" s="77">
        <v>24780</v>
      </c>
      <c r="D40" s="77"/>
      <c r="E40" s="77"/>
      <c r="F40" s="77"/>
      <c r="G40" s="77"/>
      <c r="H40" s="77"/>
      <c r="I40" s="77"/>
      <c r="J40" s="77">
        <f t="shared" si="9"/>
        <v>24780</v>
      </c>
      <c r="K40" s="77">
        <v>8423</v>
      </c>
      <c r="L40" s="77">
        <f t="shared" si="7"/>
        <v>16357</v>
      </c>
      <c r="M40" s="78">
        <f t="shared" si="10"/>
        <v>9.864439552680751E-3</v>
      </c>
      <c r="N40" s="65"/>
      <c r="O40" s="65"/>
    </row>
    <row r="41" spans="1:15" ht="17.100000000000001" customHeight="1" x14ac:dyDescent="0.2">
      <c r="A41" s="88" t="s">
        <v>117</v>
      </c>
      <c r="B41" s="72" t="s">
        <v>53</v>
      </c>
      <c r="C41" s="77">
        <v>2500</v>
      </c>
      <c r="D41" s="77"/>
      <c r="E41" s="77"/>
      <c r="F41" s="77"/>
      <c r="G41" s="77"/>
      <c r="H41" s="77"/>
      <c r="I41" s="77"/>
      <c r="J41" s="77">
        <f t="shared" si="9"/>
        <v>2500</v>
      </c>
      <c r="K41" s="77">
        <v>0</v>
      </c>
      <c r="L41" s="77">
        <f t="shared" si="7"/>
        <v>2500</v>
      </c>
      <c r="M41" s="78">
        <f t="shared" si="10"/>
        <v>0</v>
      </c>
      <c r="N41" s="65"/>
      <c r="O41" s="65"/>
    </row>
    <row r="42" spans="1:15" ht="17.100000000000001" customHeight="1" x14ac:dyDescent="0.2">
      <c r="A42" s="88" t="s">
        <v>118</v>
      </c>
      <c r="B42" s="72" t="s">
        <v>54</v>
      </c>
      <c r="C42" s="77">
        <v>4464</v>
      </c>
      <c r="D42" s="77">
        <v>1200</v>
      </c>
      <c r="E42" s="77"/>
      <c r="F42" s="77"/>
      <c r="G42" s="77"/>
      <c r="H42" s="77"/>
      <c r="I42" s="77"/>
      <c r="J42" s="77">
        <f t="shared" si="9"/>
        <v>5664</v>
      </c>
      <c r="K42" s="77">
        <v>4759.04</v>
      </c>
      <c r="L42" s="77">
        <f t="shared" si="7"/>
        <v>904.96</v>
      </c>
      <c r="M42" s="78">
        <f t="shared" si="10"/>
        <v>5.5734610481763978E-3</v>
      </c>
      <c r="N42" s="65"/>
      <c r="O42" s="65"/>
    </row>
    <row r="43" spans="1:15" ht="17.100000000000001" customHeight="1" x14ac:dyDescent="0.2">
      <c r="A43" s="88" t="s">
        <v>119</v>
      </c>
      <c r="B43" s="72" t="s">
        <v>120</v>
      </c>
      <c r="C43" s="77">
        <v>12200</v>
      </c>
      <c r="D43" s="77"/>
      <c r="E43" s="77"/>
      <c r="F43" s="77"/>
      <c r="G43" s="77"/>
      <c r="H43" s="77"/>
      <c r="I43" s="77"/>
      <c r="J43" s="77">
        <f t="shared" si="9"/>
        <v>12200</v>
      </c>
      <c r="K43" s="77">
        <v>7545.75</v>
      </c>
      <c r="L43" s="77">
        <f t="shared" si="7"/>
        <v>4654.25</v>
      </c>
      <c r="M43" s="78">
        <f t="shared" si="10"/>
        <v>8.837064555935031E-3</v>
      </c>
      <c r="N43" s="65"/>
      <c r="O43" s="65"/>
    </row>
    <row r="44" spans="1:15" ht="17.100000000000001" customHeight="1" x14ac:dyDescent="0.2">
      <c r="A44" s="88" t="s">
        <v>121</v>
      </c>
      <c r="B44" s="72" t="s">
        <v>122</v>
      </c>
      <c r="C44" s="77">
        <v>1218400</v>
      </c>
      <c r="D44" s="77">
        <v>64062.78</v>
      </c>
      <c r="E44" s="77"/>
      <c r="F44" s="77"/>
      <c r="G44" s="77"/>
      <c r="H44" s="77"/>
      <c r="I44" s="77"/>
      <c r="J44" s="77">
        <f t="shared" si="9"/>
        <v>1282462.78</v>
      </c>
      <c r="K44" s="77">
        <v>322245</v>
      </c>
      <c r="L44" s="77">
        <f t="shared" si="7"/>
        <v>960217.78</v>
      </c>
      <c r="M44" s="78">
        <f t="shared" si="10"/>
        <v>0.37739122921211071</v>
      </c>
      <c r="N44" s="65"/>
      <c r="O44" s="65"/>
    </row>
    <row r="45" spans="1:15" ht="17.100000000000001" hidden="1" customHeight="1" x14ac:dyDescent="0.2">
      <c r="A45" s="88" t="s">
        <v>123</v>
      </c>
      <c r="B45" s="72" t="s">
        <v>124</v>
      </c>
      <c r="C45" s="77">
        <v>0</v>
      </c>
      <c r="D45" s="77"/>
      <c r="E45" s="77"/>
      <c r="F45" s="77"/>
      <c r="G45" s="77"/>
      <c r="H45" s="77"/>
      <c r="I45" s="77"/>
      <c r="J45" s="77">
        <f t="shared" si="9"/>
        <v>0</v>
      </c>
      <c r="K45" s="77">
        <v>0</v>
      </c>
      <c r="L45" s="77">
        <f t="shared" si="7"/>
        <v>0</v>
      </c>
      <c r="M45" s="78">
        <f t="shared" si="10"/>
        <v>0</v>
      </c>
      <c r="N45" s="65"/>
      <c r="O45" s="65"/>
    </row>
    <row r="46" spans="1:15" ht="17.100000000000001" hidden="1" customHeight="1" x14ac:dyDescent="0.2">
      <c r="A46" s="88" t="s">
        <v>125</v>
      </c>
      <c r="B46" s="72" t="s">
        <v>126</v>
      </c>
      <c r="C46" s="77">
        <v>0</v>
      </c>
      <c r="D46" s="77"/>
      <c r="E46" s="77"/>
      <c r="F46" s="77"/>
      <c r="G46" s="77"/>
      <c r="H46" s="77"/>
      <c r="I46" s="77"/>
      <c r="J46" s="77">
        <f t="shared" si="9"/>
        <v>0</v>
      </c>
      <c r="K46" s="77">
        <v>0</v>
      </c>
      <c r="L46" s="77">
        <f t="shared" si="7"/>
        <v>0</v>
      </c>
      <c r="M46" s="78">
        <f t="shared" si="10"/>
        <v>0</v>
      </c>
      <c r="N46" s="65"/>
      <c r="O46" s="65"/>
    </row>
    <row r="47" spans="1:15" ht="17.100000000000001" customHeight="1" x14ac:dyDescent="0.2">
      <c r="A47" s="88" t="s">
        <v>127</v>
      </c>
      <c r="B47" s="72" t="s">
        <v>55</v>
      </c>
      <c r="C47" s="77">
        <v>104664</v>
      </c>
      <c r="D47" s="77">
        <v>13644</v>
      </c>
      <c r="E47" s="77"/>
      <c r="F47" s="77"/>
      <c r="G47" s="77"/>
      <c r="H47" s="77"/>
      <c r="I47" s="77"/>
      <c r="J47" s="77">
        <f t="shared" si="9"/>
        <v>118308</v>
      </c>
      <c r="K47" s="77">
        <v>3958.7799999999997</v>
      </c>
      <c r="L47" s="77">
        <f t="shared" si="7"/>
        <v>114349.22</v>
      </c>
      <c r="M47" s="78">
        <f t="shared" si="10"/>
        <v>4.63625145581877E-3</v>
      </c>
      <c r="N47" s="65"/>
      <c r="O47" s="65"/>
    </row>
    <row r="48" spans="1:15" ht="17.100000000000001" customHeight="1" x14ac:dyDescent="0.2">
      <c r="A48" s="88" t="s">
        <v>128</v>
      </c>
      <c r="B48" s="72" t="s">
        <v>237</v>
      </c>
      <c r="C48" s="77">
        <v>459374.84</v>
      </c>
      <c r="D48" s="77">
        <v>11548.31</v>
      </c>
      <c r="E48" s="77"/>
      <c r="F48" s="77"/>
      <c r="G48" s="77"/>
      <c r="H48" s="77"/>
      <c r="I48" s="77"/>
      <c r="J48" s="77">
        <f t="shared" si="9"/>
        <v>470923.15</v>
      </c>
      <c r="K48" s="77">
        <v>47907.579999999994</v>
      </c>
      <c r="L48" s="77">
        <f t="shared" si="7"/>
        <v>423015.57</v>
      </c>
      <c r="M48" s="78">
        <f t="shared" si="10"/>
        <v>5.6106069930573099E-2</v>
      </c>
      <c r="N48" s="65"/>
      <c r="O48" s="65"/>
    </row>
    <row r="49" spans="1:15" ht="17.100000000000001" customHeight="1" x14ac:dyDescent="0.2">
      <c r="A49" s="88" t="s">
        <v>130</v>
      </c>
      <c r="B49" s="72" t="s">
        <v>56</v>
      </c>
      <c r="C49" s="77">
        <v>9000</v>
      </c>
      <c r="D49" s="77"/>
      <c r="E49" s="77"/>
      <c r="F49" s="77"/>
      <c r="G49" s="77"/>
      <c r="H49" s="77"/>
      <c r="I49" s="77"/>
      <c r="J49" s="77">
        <f t="shared" si="9"/>
        <v>9000</v>
      </c>
      <c r="K49" s="77">
        <v>0</v>
      </c>
      <c r="L49" s="77">
        <f t="shared" si="7"/>
        <v>9000</v>
      </c>
      <c r="M49" s="78">
        <f t="shared" si="10"/>
        <v>0</v>
      </c>
      <c r="N49" s="65"/>
      <c r="O49" s="65"/>
    </row>
    <row r="50" spans="1:15" ht="17.100000000000001" customHeight="1" x14ac:dyDescent="0.2">
      <c r="A50" s="88" t="s">
        <v>131</v>
      </c>
      <c r="B50" s="72" t="s">
        <v>57</v>
      </c>
      <c r="C50" s="77">
        <v>25000</v>
      </c>
      <c r="D50" s="77"/>
      <c r="E50" s="77"/>
      <c r="F50" s="77"/>
      <c r="G50" s="77"/>
      <c r="H50" s="77"/>
      <c r="I50" s="77"/>
      <c r="J50" s="77">
        <f t="shared" si="9"/>
        <v>25000</v>
      </c>
      <c r="K50" s="77">
        <v>0</v>
      </c>
      <c r="L50" s="77">
        <f t="shared" si="7"/>
        <v>25000</v>
      </c>
      <c r="M50" s="78">
        <f t="shared" si="10"/>
        <v>0</v>
      </c>
      <c r="N50" s="65"/>
      <c r="O50" s="65"/>
    </row>
    <row r="51" spans="1:15" ht="17.100000000000001" customHeight="1" x14ac:dyDescent="0.2">
      <c r="A51" s="88" t="s">
        <v>132</v>
      </c>
      <c r="B51" s="72" t="s">
        <v>133</v>
      </c>
      <c r="C51" s="77">
        <v>70560</v>
      </c>
      <c r="D51" s="77"/>
      <c r="E51" s="77"/>
      <c r="F51" s="77"/>
      <c r="G51" s="77"/>
      <c r="H51" s="77"/>
      <c r="I51" s="77"/>
      <c r="J51" s="77">
        <f t="shared" si="9"/>
        <v>70560</v>
      </c>
      <c r="K51" s="77">
        <v>0</v>
      </c>
      <c r="L51" s="77">
        <f t="shared" si="7"/>
        <v>70560</v>
      </c>
      <c r="M51" s="78">
        <f t="shared" si="10"/>
        <v>0</v>
      </c>
      <c r="N51" s="65"/>
      <c r="O51" s="65"/>
    </row>
    <row r="52" spans="1:15" ht="17.100000000000001" customHeight="1" x14ac:dyDescent="0.2">
      <c r="A52" s="88" t="s">
        <v>134</v>
      </c>
      <c r="B52" s="72" t="s">
        <v>58</v>
      </c>
      <c r="C52" s="77">
        <v>35200</v>
      </c>
      <c r="D52" s="77"/>
      <c r="E52" s="77"/>
      <c r="F52" s="77"/>
      <c r="G52" s="77"/>
      <c r="H52" s="77"/>
      <c r="I52" s="77"/>
      <c r="J52" s="77">
        <f t="shared" si="9"/>
        <v>35200</v>
      </c>
      <c r="K52" s="77"/>
      <c r="L52" s="77">
        <f t="shared" si="7"/>
        <v>35200</v>
      </c>
      <c r="M52" s="78">
        <f t="shared" si="10"/>
        <v>0</v>
      </c>
      <c r="N52" s="65"/>
      <c r="O52" s="65"/>
    </row>
    <row r="53" spans="1:15" ht="17.100000000000001" customHeight="1" x14ac:dyDescent="0.2">
      <c r="A53" s="88" t="s">
        <v>135</v>
      </c>
      <c r="B53" s="72" t="s">
        <v>59</v>
      </c>
      <c r="C53" s="77">
        <v>6550</v>
      </c>
      <c r="D53" s="77"/>
      <c r="E53" s="77"/>
      <c r="F53" s="77"/>
      <c r="G53" s="77"/>
      <c r="H53" s="77"/>
      <c r="I53" s="77"/>
      <c r="J53" s="77">
        <f t="shared" si="9"/>
        <v>6550</v>
      </c>
      <c r="K53" s="77">
        <v>3335</v>
      </c>
      <c r="L53" s="77">
        <f t="shared" si="7"/>
        <v>3215</v>
      </c>
      <c r="M53" s="78">
        <f t="shared" si="10"/>
        <v>3.9057231281242198E-3</v>
      </c>
      <c r="N53" s="65"/>
      <c r="O53" s="65"/>
    </row>
    <row r="54" spans="1:15" ht="17.100000000000001" customHeight="1" x14ac:dyDescent="0.2">
      <c r="A54" s="88" t="s">
        <v>136</v>
      </c>
      <c r="B54" s="72" t="s">
        <v>137</v>
      </c>
      <c r="C54" s="77">
        <v>2000</v>
      </c>
      <c r="D54" s="77"/>
      <c r="E54" s="77"/>
      <c r="F54" s="77"/>
      <c r="G54" s="77"/>
      <c r="H54" s="77"/>
      <c r="I54" s="77"/>
      <c r="J54" s="77">
        <f t="shared" si="9"/>
        <v>2000</v>
      </c>
      <c r="K54" s="77">
        <v>0</v>
      </c>
      <c r="L54" s="77">
        <f t="shared" si="7"/>
        <v>2000</v>
      </c>
      <c r="M54" s="78">
        <f t="shared" si="10"/>
        <v>0</v>
      </c>
      <c r="N54" s="65"/>
      <c r="O54" s="65"/>
    </row>
    <row r="55" spans="1:15" ht="17.100000000000001" customHeight="1" x14ac:dyDescent="0.2">
      <c r="A55" s="88" t="s">
        <v>138</v>
      </c>
      <c r="B55" s="72" t="s">
        <v>139</v>
      </c>
      <c r="C55" s="77">
        <v>10000</v>
      </c>
      <c r="D55" s="77"/>
      <c r="E55" s="77"/>
      <c r="F55" s="77"/>
      <c r="G55" s="77"/>
      <c r="H55" s="77"/>
      <c r="I55" s="77"/>
      <c r="J55" s="77">
        <f t="shared" si="9"/>
        <v>10000</v>
      </c>
      <c r="K55" s="77">
        <v>0</v>
      </c>
      <c r="L55" s="77">
        <f t="shared" si="7"/>
        <v>10000</v>
      </c>
      <c r="M55" s="78">
        <f t="shared" si="10"/>
        <v>0</v>
      </c>
      <c r="N55" s="65"/>
      <c r="O55" s="65"/>
    </row>
    <row r="56" spans="1:15" ht="17.100000000000001" customHeight="1" x14ac:dyDescent="0.2">
      <c r="A56" s="88" t="s">
        <v>140</v>
      </c>
      <c r="B56" s="72" t="s">
        <v>141</v>
      </c>
      <c r="C56" s="77">
        <v>6900</v>
      </c>
      <c r="D56" s="77"/>
      <c r="E56" s="77"/>
      <c r="F56" s="77"/>
      <c r="G56" s="77"/>
      <c r="H56" s="77"/>
      <c r="I56" s="77"/>
      <c r="J56" s="77">
        <f t="shared" si="9"/>
        <v>6900</v>
      </c>
      <c r="K56" s="77">
        <v>262.51</v>
      </c>
      <c r="L56" s="77">
        <f t="shared" si="7"/>
        <v>6637.49</v>
      </c>
      <c r="M56" s="78">
        <f t="shared" si="10"/>
        <v>3.0743369666083625E-4</v>
      </c>
      <c r="N56" s="65"/>
      <c r="O56" s="65"/>
    </row>
    <row r="57" spans="1:15" ht="17.100000000000001" customHeight="1" x14ac:dyDescent="0.2">
      <c r="A57" s="88" t="s">
        <v>142</v>
      </c>
      <c r="B57" s="72" t="s">
        <v>143</v>
      </c>
      <c r="C57" s="77">
        <v>3000</v>
      </c>
      <c r="D57" s="77"/>
      <c r="E57" s="77"/>
      <c r="F57" s="77"/>
      <c r="G57" s="77"/>
      <c r="H57" s="77"/>
      <c r="I57" s="77"/>
      <c r="J57" s="77">
        <f t="shared" si="9"/>
        <v>3000</v>
      </c>
      <c r="K57" s="77">
        <v>2600</v>
      </c>
      <c r="L57" s="77">
        <f t="shared" si="7"/>
        <v>400</v>
      </c>
      <c r="M57" s="78">
        <f t="shared" si="10"/>
        <v>3.0449415691523153E-3</v>
      </c>
      <c r="N57" s="65"/>
      <c r="O57" s="65"/>
    </row>
    <row r="58" spans="1:15" ht="17.100000000000001" customHeight="1" x14ac:dyDescent="0.2">
      <c r="A58" s="88" t="s">
        <v>144</v>
      </c>
      <c r="B58" s="72" t="s">
        <v>145</v>
      </c>
      <c r="C58" s="77">
        <v>5000</v>
      </c>
      <c r="D58" s="77">
        <v>250</v>
      </c>
      <c r="E58" s="77"/>
      <c r="F58" s="77"/>
      <c r="G58" s="77"/>
      <c r="H58" s="77"/>
      <c r="I58" s="77"/>
      <c r="J58" s="77">
        <f t="shared" si="9"/>
        <v>5250</v>
      </c>
      <c r="K58" s="77">
        <v>0</v>
      </c>
      <c r="L58" s="77">
        <f t="shared" si="7"/>
        <v>5250</v>
      </c>
      <c r="M58" s="78">
        <f t="shared" si="10"/>
        <v>0</v>
      </c>
      <c r="N58" s="65"/>
      <c r="O58" s="65"/>
    </row>
    <row r="59" spans="1:15" ht="17.100000000000001" customHeight="1" x14ac:dyDescent="0.2">
      <c r="A59" s="88" t="s">
        <v>146</v>
      </c>
      <c r="B59" s="72" t="s">
        <v>147</v>
      </c>
      <c r="C59" s="77">
        <v>180000</v>
      </c>
      <c r="D59" s="77"/>
      <c r="E59" s="77"/>
      <c r="F59" s="77"/>
      <c r="G59" s="77"/>
      <c r="H59" s="77"/>
      <c r="I59" s="77"/>
      <c r="J59" s="77">
        <f t="shared" si="9"/>
        <v>180000</v>
      </c>
      <c r="K59" s="77">
        <v>0</v>
      </c>
      <c r="L59" s="77">
        <f t="shared" si="7"/>
        <v>180000</v>
      </c>
      <c r="M59" s="78">
        <f t="shared" si="10"/>
        <v>0</v>
      </c>
      <c r="N59" s="65"/>
      <c r="O59" s="65"/>
    </row>
    <row r="60" spans="1:15" ht="17.100000000000001" customHeight="1" x14ac:dyDescent="0.2">
      <c r="A60" s="88" t="s">
        <v>148</v>
      </c>
      <c r="B60" s="72" t="s">
        <v>149</v>
      </c>
      <c r="C60" s="77">
        <v>0</v>
      </c>
      <c r="D60" s="77"/>
      <c r="E60" s="77"/>
      <c r="F60" s="77"/>
      <c r="G60" s="77"/>
      <c r="H60" s="77"/>
      <c r="I60" s="77"/>
      <c r="J60" s="77">
        <f t="shared" si="9"/>
        <v>0</v>
      </c>
      <c r="K60" s="77">
        <v>0</v>
      </c>
      <c r="L60" s="77">
        <f t="shared" si="7"/>
        <v>0</v>
      </c>
      <c r="M60" s="78">
        <f t="shared" si="10"/>
        <v>0</v>
      </c>
      <c r="N60" s="65"/>
      <c r="O60" s="65"/>
    </row>
    <row r="61" spans="1:15" ht="17.100000000000001" customHeight="1" x14ac:dyDescent="0.2">
      <c r="A61" s="88" t="s">
        <v>150</v>
      </c>
      <c r="B61" s="72" t="s">
        <v>151</v>
      </c>
      <c r="C61" s="77">
        <v>40600</v>
      </c>
      <c r="D61" s="77"/>
      <c r="E61" s="77">
        <v>16600</v>
      </c>
      <c r="F61" s="77"/>
      <c r="G61" s="77"/>
      <c r="H61" s="77"/>
      <c r="I61" s="77"/>
      <c r="J61" s="77">
        <f t="shared" si="9"/>
        <v>24000</v>
      </c>
      <c r="K61" s="77">
        <v>4625</v>
      </c>
      <c r="L61" s="77">
        <f t="shared" si="7"/>
        <v>19375</v>
      </c>
      <c r="M61" s="78">
        <f t="shared" si="10"/>
        <v>5.4164825989728681E-3</v>
      </c>
      <c r="N61" s="65"/>
      <c r="O61" s="65"/>
    </row>
    <row r="62" spans="1:15" ht="17.100000000000001" customHeight="1" x14ac:dyDescent="0.2">
      <c r="A62" s="88" t="s">
        <v>152</v>
      </c>
      <c r="B62" s="72" t="s">
        <v>153</v>
      </c>
      <c r="C62" s="77">
        <v>60000</v>
      </c>
      <c r="D62" s="77"/>
      <c r="E62" s="77">
        <v>6000</v>
      </c>
      <c r="F62" s="77"/>
      <c r="G62" s="77"/>
      <c r="H62" s="77"/>
      <c r="I62" s="77"/>
      <c r="J62" s="77">
        <f t="shared" si="9"/>
        <v>54000</v>
      </c>
      <c r="K62" s="77">
        <v>18000</v>
      </c>
      <c r="L62" s="77">
        <f t="shared" si="7"/>
        <v>36000</v>
      </c>
      <c r="M62" s="78">
        <f t="shared" si="10"/>
        <v>2.1080364709516027E-2</v>
      </c>
      <c r="N62" s="65"/>
      <c r="O62" s="65"/>
    </row>
    <row r="63" spans="1:15" ht="17.100000000000001" customHeight="1" x14ac:dyDescent="0.2">
      <c r="A63" s="88" t="s">
        <v>154</v>
      </c>
      <c r="B63" s="72" t="s">
        <v>60</v>
      </c>
      <c r="C63" s="77">
        <v>11300</v>
      </c>
      <c r="D63" s="77"/>
      <c r="E63" s="77"/>
      <c r="F63" s="77"/>
      <c r="G63" s="77"/>
      <c r="H63" s="77"/>
      <c r="I63" s="77"/>
      <c r="J63" s="77">
        <f t="shared" si="9"/>
        <v>11300</v>
      </c>
      <c r="K63" s="77">
        <v>1536</v>
      </c>
      <c r="L63" s="77">
        <f t="shared" si="7"/>
        <v>9764</v>
      </c>
      <c r="M63" s="78">
        <f t="shared" si="10"/>
        <v>1.7988577885453677E-3</v>
      </c>
      <c r="N63" s="65"/>
      <c r="O63" s="65"/>
    </row>
    <row r="64" spans="1:15" ht="17.100000000000001" customHeight="1" x14ac:dyDescent="0.2">
      <c r="A64" s="88" t="s">
        <v>155</v>
      </c>
      <c r="B64" s="72" t="s">
        <v>268</v>
      </c>
      <c r="C64" s="77">
        <v>15500</v>
      </c>
      <c r="D64" s="77"/>
      <c r="E64" s="77"/>
      <c r="F64" s="77"/>
      <c r="G64" s="77"/>
      <c r="H64" s="77"/>
      <c r="I64" s="77"/>
      <c r="J64" s="77">
        <f t="shared" si="9"/>
        <v>15500</v>
      </c>
      <c r="K64" s="77">
        <v>6435</v>
      </c>
      <c r="L64" s="77">
        <f t="shared" si="7"/>
        <v>9065</v>
      </c>
      <c r="M64" s="78">
        <f t="shared" si="10"/>
        <v>7.5362303836519796E-3</v>
      </c>
      <c r="N64" s="65"/>
      <c r="O64" s="65"/>
    </row>
    <row r="65" spans="1:15" ht="17.100000000000001" customHeight="1" x14ac:dyDescent="0.2">
      <c r="A65" s="88" t="s">
        <v>157</v>
      </c>
      <c r="B65" s="72" t="s">
        <v>61</v>
      </c>
      <c r="C65" s="77">
        <v>24394.959999999995</v>
      </c>
      <c r="D65" s="77"/>
      <c r="E65" s="77">
        <v>3200</v>
      </c>
      <c r="F65" s="77"/>
      <c r="G65" s="77"/>
      <c r="H65" s="77"/>
      <c r="I65" s="77"/>
      <c r="J65" s="77">
        <f t="shared" si="9"/>
        <v>21194.959999999995</v>
      </c>
      <c r="K65" s="77">
        <v>2800</v>
      </c>
      <c r="L65" s="77">
        <f t="shared" si="7"/>
        <v>18394.959999999995</v>
      </c>
      <c r="M65" s="78">
        <f t="shared" si="10"/>
        <v>3.2791678437024932E-3</v>
      </c>
      <c r="N65" s="65"/>
      <c r="O65" s="65"/>
    </row>
    <row r="66" spans="1:15" ht="17.100000000000001" customHeight="1" x14ac:dyDescent="0.2">
      <c r="A66" s="88" t="s">
        <v>158</v>
      </c>
      <c r="B66" s="72" t="s">
        <v>62</v>
      </c>
      <c r="C66" s="77">
        <v>80000</v>
      </c>
      <c r="D66" s="77"/>
      <c r="E66" s="77"/>
      <c r="F66" s="77"/>
      <c r="G66" s="77"/>
      <c r="H66" s="77"/>
      <c r="I66" s="77"/>
      <c r="J66" s="77">
        <f t="shared" si="9"/>
        <v>80000</v>
      </c>
      <c r="K66" s="77">
        <v>0</v>
      </c>
      <c r="L66" s="77">
        <f t="shared" si="7"/>
        <v>80000</v>
      </c>
      <c r="M66" s="78">
        <f t="shared" si="10"/>
        <v>0</v>
      </c>
      <c r="N66" s="65"/>
      <c r="O66" s="65"/>
    </row>
    <row r="67" spans="1:15" ht="17.100000000000001" customHeight="1" x14ac:dyDescent="0.2">
      <c r="A67" s="88" t="s">
        <v>159</v>
      </c>
      <c r="B67" s="72" t="s">
        <v>238</v>
      </c>
      <c r="C67" s="77">
        <v>244000</v>
      </c>
      <c r="D67" s="77"/>
      <c r="E67" s="77">
        <v>12800</v>
      </c>
      <c r="F67" s="77"/>
      <c r="G67" s="77"/>
      <c r="H67" s="77"/>
      <c r="I67" s="77"/>
      <c r="J67" s="77">
        <f t="shared" si="9"/>
        <v>231200</v>
      </c>
      <c r="K67" s="77">
        <v>65919</v>
      </c>
      <c r="L67" s="77">
        <f t="shared" si="7"/>
        <v>165281</v>
      </c>
      <c r="M67" s="78">
        <f t="shared" si="10"/>
        <v>7.7199808960365948E-2</v>
      </c>
      <c r="N67" s="65"/>
      <c r="O67" s="65"/>
    </row>
    <row r="68" spans="1:15" ht="17.100000000000001" customHeight="1" x14ac:dyDescent="0.2">
      <c r="A68" s="88" t="s">
        <v>160</v>
      </c>
      <c r="B68" s="72" t="s">
        <v>64</v>
      </c>
      <c r="C68" s="77">
        <v>11250</v>
      </c>
      <c r="D68" s="77"/>
      <c r="E68" s="77"/>
      <c r="F68" s="77"/>
      <c r="G68" s="77"/>
      <c r="H68" s="77"/>
      <c r="I68" s="77"/>
      <c r="J68" s="77">
        <f t="shared" si="9"/>
        <v>11250</v>
      </c>
      <c r="K68" s="77">
        <v>0</v>
      </c>
      <c r="L68" s="77">
        <f t="shared" si="7"/>
        <v>11250</v>
      </c>
      <c r="M68" s="78">
        <f t="shared" si="10"/>
        <v>0</v>
      </c>
      <c r="N68" s="65"/>
      <c r="O68" s="65"/>
    </row>
    <row r="69" spans="1:15" ht="17.100000000000001" customHeight="1" x14ac:dyDescent="0.2">
      <c r="A69" s="88" t="s">
        <v>161</v>
      </c>
      <c r="B69" s="72" t="s">
        <v>239</v>
      </c>
      <c r="C69" s="77">
        <v>5000</v>
      </c>
      <c r="D69" s="77"/>
      <c r="E69" s="77"/>
      <c r="F69" s="77"/>
      <c r="G69" s="77"/>
      <c r="H69" s="77"/>
      <c r="I69" s="77"/>
      <c r="J69" s="77">
        <f t="shared" si="9"/>
        <v>5000</v>
      </c>
      <c r="K69" s="77">
        <v>278.45</v>
      </c>
      <c r="L69" s="77">
        <f t="shared" si="7"/>
        <v>4721.55</v>
      </c>
      <c r="M69" s="78">
        <f t="shared" si="10"/>
        <v>3.2610153074248542E-4</v>
      </c>
      <c r="N69" s="65"/>
      <c r="O69" s="65"/>
    </row>
    <row r="70" spans="1:15" ht="17.100000000000001" customHeight="1" x14ac:dyDescent="0.2">
      <c r="A70" s="88" t="s">
        <v>163</v>
      </c>
      <c r="B70" s="72" t="s">
        <v>164</v>
      </c>
      <c r="C70" s="77">
        <v>5000</v>
      </c>
      <c r="D70" s="77"/>
      <c r="E70" s="77"/>
      <c r="F70" s="77"/>
      <c r="G70" s="77"/>
      <c r="H70" s="77"/>
      <c r="I70" s="77"/>
      <c r="J70" s="77">
        <f t="shared" si="9"/>
        <v>5000</v>
      </c>
      <c r="K70" s="77">
        <v>746.66</v>
      </c>
      <c r="L70" s="77">
        <f t="shared" si="7"/>
        <v>4253.34</v>
      </c>
      <c r="M70" s="78">
        <f t="shared" si="10"/>
        <v>8.7443695077817985E-4</v>
      </c>
      <c r="N70" s="65"/>
      <c r="O70" s="65"/>
    </row>
    <row r="71" spans="1:15" ht="17.100000000000001" customHeight="1" x14ac:dyDescent="0.2">
      <c r="A71" s="88" t="s">
        <v>165</v>
      </c>
      <c r="B71" s="72" t="s">
        <v>65</v>
      </c>
      <c r="C71" s="77">
        <v>21150</v>
      </c>
      <c r="D71" s="77">
        <v>970</v>
      </c>
      <c r="E71" s="77"/>
      <c r="F71" s="77"/>
      <c r="G71" s="77"/>
      <c r="H71" s="77"/>
      <c r="I71" s="77"/>
      <c r="J71" s="77">
        <f t="shared" si="9"/>
        <v>22120</v>
      </c>
      <c r="K71" s="77">
        <v>0</v>
      </c>
      <c r="L71" s="77">
        <f t="shared" si="7"/>
        <v>22120</v>
      </c>
      <c r="M71" s="78">
        <f t="shared" si="10"/>
        <v>0</v>
      </c>
      <c r="N71" s="65"/>
      <c r="O71" s="65"/>
    </row>
    <row r="72" spans="1:15" ht="17.100000000000001" customHeight="1" x14ac:dyDescent="0.2">
      <c r="A72" s="88" t="s">
        <v>166</v>
      </c>
      <c r="B72" s="72" t="s">
        <v>167</v>
      </c>
      <c r="C72" s="77">
        <v>17000</v>
      </c>
      <c r="D72" s="77">
        <v>750</v>
      </c>
      <c r="E72" s="77"/>
      <c r="F72" s="77"/>
      <c r="G72" s="77"/>
      <c r="H72" s="77"/>
      <c r="I72" s="77"/>
      <c r="J72" s="77">
        <f t="shared" si="9"/>
        <v>17750</v>
      </c>
      <c r="K72" s="77">
        <v>632</v>
      </c>
      <c r="L72" s="77">
        <f t="shared" si="7"/>
        <v>17118</v>
      </c>
      <c r="M72" s="78">
        <f t="shared" si="10"/>
        <v>7.4015502757856274E-4</v>
      </c>
      <c r="N72" s="65"/>
      <c r="O72" s="65"/>
    </row>
    <row r="73" spans="1:15" ht="17.100000000000001" customHeight="1" x14ac:dyDescent="0.2">
      <c r="A73" s="88"/>
      <c r="B73" s="72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65"/>
      <c r="O73" s="65"/>
    </row>
    <row r="74" spans="1:15" ht="17.100000000000001" customHeight="1" x14ac:dyDescent="0.25">
      <c r="A74" s="86">
        <v>2</v>
      </c>
      <c r="B74" s="87" t="s">
        <v>66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8"/>
      <c r="N74" s="65"/>
      <c r="O74" s="65"/>
    </row>
    <row r="75" spans="1:15" ht="17.100000000000001" customHeight="1" x14ac:dyDescent="0.2">
      <c r="A75" s="88" t="s">
        <v>168</v>
      </c>
      <c r="B75" s="72" t="s">
        <v>67</v>
      </c>
      <c r="C75" s="77">
        <v>116357.64</v>
      </c>
      <c r="D75" s="77">
        <v>40914</v>
      </c>
      <c r="E75" s="77"/>
      <c r="F75" s="77"/>
      <c r="G75" s="77"/>
      <c r="H75" s="77"/>
      <c r="I75" s="77"/>
      <c r="J75" s="77">
        <f t="shared" si="9"/>
        <v>157271.64000000001</v>
      </c>
      <c r="K75" s="77">
        <v>17246.900000000001</v>
      </c>
      <c r="L75" s="77">
        <f t="shared" si="7"/>
        <v>140024.74000000002</v>
      </c>
      <c r="M75" s="78">
        <f t="shared" ref="M75:M104" si="11">K75/$K$123</f>
        <v>2.0198385672697335E-2</v>
      </c>
      <c r="N75" s="65"/>
      <c r="O75" s="65"/>
    </row>
    <row r="76" spans="1:15" ht="17.100000000000001" customHeight="1" x14ac:dyDescent="0.2">
      <c r="A76" s="88" t="s">
        <v>254</v>
      </c>
      <c r="B76" s="72" t="s">
        <v>255</v>
      </c>
      <c r="C76" s="77">
        <v>0</v>
      </c>
      <c r="D76" s="77">
        <v>750</v>
      </c>
      <c r="E76" s="77"/>
      <c r="F76" s="77"/>
      <c r="G76" s="77"/>
      <c r="H76" s="77"/>
      <c r="I76" s="77"/>
      <c r="J76" s="77">
        <f t="shared" si="9"/>
        <v>750</v>
      </c>
      <c r="K76" s="77">
        <v>0</v>
      </c>
      <c r="L76" s="77">
        <f t="shared" si="7"/>
        <v>750</v>
      </c>
      <c r="M76" s="78">
        <f t="shared" si="11"/>
        <v>0</v>
      </c>
      <c r="N76" s="65"/>
      <c r="O76" s="65"/>
    </row>
    <row r="77" spans="1:15" ht="17.100000000000001" customHeight="1" x14ac:dyDescent="0.2">
      <c r="A77" s="88" t="s">
        <v>170</v>
      </c>
      <c r="B77" s="72" t="s">
        <v>69</v>
      </c>
      <c r="C77" s="77">
        <v>2080</v>
      </c>
      <c r="D77" s="77">
        <v>4500</v>
      </c>
      <c r="E77" s="77"/>
      <c r="F77" s="77"/>
      <c r="G77" s="77"/>
      <c r="H77" s="77"/>
      <c r="I77" s="77"/>
      <c r="J77" s="77">
        <f t="shared" si="9"/>
        <v>6580</v>
      </c>
      <c r="K77" s="77">
        <v>362</v>
      </c>
      <c r="L77" s="77">
        <f t="shared" si="7"/>
        <v>6218</v>
      </c>
      <c r="M77" s="78">
        <f t="shared" si="11"/>
        <v>4.2394955693582235E-4</v>
      </c>
      <c r="N77" s="65"/>
      <c r="O77" s="65"/>
    </row>
    <row r="78" spans="1:15" ht="17.100000000000001" customHeight="1" x14ac:dyDescent="0.2">
      <c r="A78" s="88" t="s">
        <v>171</v>
      </c>
      <c r="B78" s="72" t="s">
        <v>70</v>
      </c>
      <c r="C78" s="77">
        <v>62500</v>
      </c>
      <c r="D78" s="77">
        <v>6450</v>
      </c>
      <c r="E78" s="77"/>
      <c r="F78" s="77"/>
      <c r="G78" s="77"/>
      <c r="H78" s="77"/>
      <c r="I78" s="77"/>
      <c r="J78" s="77">
        <f t="shared" si="9"/>
        <v>68950</v>
      </c>
      <c r="K78" s="77">
        <v>0</v>
      </c>
      <c r="L78" s="77">
        <f t="shared" si="7"/>
        <v>68950</v>
      </c>
      <c r="M78" s="78">
        <f t="shared" si="11"/>
        <v>0</v>
      </c>
      <c r="N78" s="65"/>
      <c r="O78" s="65"/>
    </row>
    <row r="79" spans="1:15" ht="17.100000000000001" customHeight="1" x14ac:dyDescent="0.2">
      <c r="A79" s="88" t="s">
        <v>172</v>
      </c>
      <c r="B79" s="72" t="s">
        <v>71</v>
      </c>
      <c r="C79" s="77">
        <v>6000</v>
      </c>
      <c r="D79" s="77">
        <v>750</v>
      </c>
      <c r="E79" s="77"/>
      <c r="F79" s="77"/>
      <c r="G79" s="77"/>
      <c r="H79" s="77"/>
      <c r="I79" s="77"/>
      <c r="J79" s="77">
        <f t="shared" si="9"/>
        <v>6750</v>
      </c>
      <c r="K79" s="77">
        <v>1086.25</v>
      </c>
      <c r="L79" s="77">
        <f t="shared" si="7"/>
        <v>5663.75</v>
      </c>
      <c r="M79" s="78">
        <f t="shared" si="11"/>
        <v>1.2721414536506547E-3</v>
      </c>
      <c r="N79" s="65"/>
      <c r="O79" s="65"/>
    </row>
    <row r="80" spans="1:15" ht="17.100000000000001" customHeight="1" x14ac:dyDescent="0.2">
      <c r="A80" s="88" t="s">
        <v>173</v>
      </c>
      <c r="B80" s="72" t="s">
        <v>72</v>
      </c>
      <c r="C80" s="77">
        <v>1100</v>
      </c>
      <c r="D80" s="77"/>
      <c r="E80" s="77"/>
      <c r="F80" s="77"/>
      <c r="G80" s="77"/>
      <c r="H80" s="77"/>
      <c r="I80" s="77"/>
      <c r="J80" s="77">
        <f t="shared" si="9"/>
        <v>1100</v>
      </c>
      <c r="K80" s="77">
        <v>250.55</v>
      </c>
      <c r="L80" s="77">
        <f t="shared" si="7"/>
        <v>849.45</v>
      </c>
      <c r="M80" s="78">
        <f t="shared" si="11"/>
        <v>2.9342696544273564E-4</v>
      </c>
      <c r="N80" s="65"/>
      <c r="O80" s="65"/>
    </row>
    <row r="81" spans="1:15" ht="17.100000000000001" customHeight="1" x14ac:dyDescent="0.2">
      <c r="A81" s="88" t="s">
        <v>174</v>
      </c>
      <c r="B81" s="72" t="s">
        <v>175</v>
      </c>
      <c r="C81" s="77">
        <v>2255</v>
      </c>
      <c r="D81" s="77"/>
      <c r="E81" s="77"/>
      <c r="F81" s="77"/>
      <c r="G81" s="77"/>
      <c r="H81" s="77"/>
      <c r="I81" s="77"/>
      <c r="J81" s="77">
        <f t="shared" si="9"/>
        <v>2255</v>
      </c>
      <c r="K81" s="77">
        <v>624</v>
      </c>
      <c r="L81" s="77">
        <f t="shared" si="7"/>
        <v>1631</v>
      </c>
      <c r="M81" s="78">
        <f t="shared" si="11"/>
        <v>7.3078597659655565E-4</v>
      </c>
      <c r="N81" s="65"/>
      <c r="O81" s="65"/>
    </row>
    <row r="82" spans="1:15" ht="17.100000000000001" customHeight="1" x14ac:dyDescent="0.2">
      <c r="A82" s="88" t="s">
        <v>176</v>
      </c>
      <c r="B82" s="72" t="s">
        <v>177</v>
      </c>
      <c r="C82" s="77">
        <v>1300</v>
      </c>
      <c r="D82" s="77"/>
      <c r="E82" s="77"/>
      <c r="F82" s="77"/>
      <c r="G82" s="77"/>
      <c r="H82" s="77"/>
      <c r="I82" s="77"/>
      <c r="J82" s="77">
        <f t="shared" si="9"/>
        <v>1300</v>
      </c>
      <c r="K82" s="77">
        <v>18</v>
      </c>
      <c r="L82" s="77">
        <f t="shared" si="7"/>
        <v>1282</v>
      </c>
      <c r="M82" s="78">
        <f t="shared" si="11"/>
        <v>2.1080364709516027E-5</v>
      </c>
      <c r="N82" s="65"/>
      <c r="O82" s="65"/>
    </row>
    <row r="83" spans="1:15" ht="17.100000000000001" customHeight="1" x14ac:dyDescent="0.2">
      <c r="A83" s="88" t="s">
        <v>178</v>
      </c>
      <c r="B83" s="72" t="s">
        <v>179</v>
      </c>
      <c r="C83" s="77">
        <v>7500</v>
      </c>
      <c r="D83" s="77"/>
      <c r="E83" s="77"/>
      <c r="F83" s="77"/>
      <c r="G83" s="77"/>
      <c r="H83" s="77"/>
      <c r="I83" s="77"/>
      <c r="J83" s="77">
        <f t="shared" si="9"/>
        <v>7500</v>
      </c>
      <c r="K83" s="77">
        <v>0</v>
      </c>
      <c r="L83" s="77">
        <f t="shared" si="7"/>
        <v>7500</v>
      </c>
      <c r="M83" s="78">
        <f t="shared" si="11"/>
        <v>0</v>
      </c>
      <c r="N83" s="65"/>
      <c r="O83" s="65"/>
    </row>
    <row r="84" spans="1:15" ht="17.100000000000001" customHeight="1" x14ac:dyDescent="0.2">
      <c r="A84" s="88" t="s">
        <v>180</v>
      </c>
      <c r="B84" s="72" t="s">
        <v>73</v>
      </c>
      <c r="C84" s="77">
        <v>200</v>
      </c>
      <c r="D84" s="77">
        <v>1050</v>
      </c>
      <c r="E84" s="77"/>
      <c r="F84" s="77"/>
      <c r="G84" s="77"/>
      <c r="H84" s="77"/>
      <c r="I84" s="77"/>
      <c r="J84" s="77">
        <f t="shared" si="9"/>
        <v>1250</v>
      </c>
      <c r="K84" s="77">
        <v>270</v>
      </c>
      <c r="L84" s="77">
        <f t="shared" si="7"/>
        <v>980</v>
      </c>
      <c r="M84" s="78">
        <f t="shared" si="11"/>
        <v>3.162054706427404E-4</v>
      </c>
      <c r="N84" s="65"/>
      <c r="O84" s="65"/>
    </row>
    <row r="85" spans="1:15" ht="17.100000000000001" customHeight="1" x14ac:dyDescent="0.2">
      <c r="A85" s="88" t="s">
        <v>181</v>
      </c>
      <c r="B85" s="72" t="s">
        <v>74</v>
      </c>
      <c r="C85" s="77">
        <v>10920</v>
      </c>
      <c r="D85" s="77"/>
      <c r="E85" s="77">
        <v>2700</v>
      </c>
      <c r="F85" s="77"/>
      <c r="G85" s="77"/>
      <c r="H85" s="77"/>
      <c r="I85" s="77"/>
      <c r="J85" s="77">
        <f t="shared" si="9"/>
        <v>8220</v>
      </c>
      <c r="K85" s="77">
        <v>2037.96</v>
      </c>
      <c r="L85" s="77">
        <f t="shared" si="7"/>
        <v>6182.04</v>
      </c>
      <c r="M85" s="78">
        <f t="shared" si="11"/>
        <v>2.3867188924114047E-3</v>
      </c>
      <c r="N85" s="65"/>
      <c r="O85" s="65"/>
    </row>
    <row r="86" spans="1:15" ht="17.100000000000001" customHeight="1" x14ac:dyDescent="0.2">
      <c r="A86" s="88" t="s">
        <v>182</v>
      </c>
      <c r="B86" s="72" t="s">
        <v>183</v>
      </c>
      <c r="C86" s="77">
        <v>1850</v>
      </c>
      <c r="D86" s="77"/>
      <c r="E86" s="77"/>
      <c r="F86" s="77"/>
      <c r="G86" s="77"/>
      <c r="H86" s="77"/>
      <c r="I86" s="77"/>
      <c r="J86" s="77">
        <f t="shared" si="9"/>
        <v>1850</v>
      </c>
      <c r="K86" s="77">
        <v>308.10000000000002</v>
      </c>
      <c r="L86" s="77">
        <f t="shared" si="7"/>
        <v>1541.9</v>
      </c>
      <c r="M86" s="78">
        <f t="shared" si="11"/>
        <v>3.6082557594454938E-4</v>
      </c>
      <c r="N86" s="65"/>
      <c r="O86" s="65"/>
    </row>
    <row r="87" spans="1:15" ht="17.100000000000001" customHeight="1" x14ac:dyDescent="0.2">
      <c r="A87" s="88" t="s">
        <v>184</v>
      </c>
      <c r="B87" s="72" t="s">
        <v>75</v>
      </c>
      <c r="C87" s="77">
        <v>19000</v>
      </c>
      <c r="D87" s="77">
        <v>3250</v>
      </c>
      <c r="E87" s="77"/>
      <c r="F87" s="77"/>
      <c r="G87" s="77"/>
      <c r="H87" s="77"/>
      <c r="I87" s="77"/>
      <c r="J87" s="77">
        <f t="shared" si="9"/>
        <v>22250</v>
      </c>
      <c r="K87" s="77">
        <v>5243.98</v>
      </c>
      <c r="L87" s="77">
        <f t="shared" si="7"/>
        <v>17006.02</v>
      </c>
      <c r="M87" s="78">
        <f t="shared" si="11"/>
        <v>6.1413894960782138E-3</v>
      </c>
      <c r="N87" s="65"/>
      <c r="O87" s="65"/>
    </row>
    <row r="88" spans="1:15" ht="17.100000000000001" customHeight="1" x14ac:dyDescent="0.2">
      <c r="A88" s="88" t="s">
        <v>185</v>
      </c>
      <c r="B88" s="72" t="s">
        <v>186</v>
      </c>
      <c r="C88" s="77">
        <v>4793.1600000000008</v>
      </c>
      <c r="D88" s="77">
        <v>17750</v>
      </c>
      <c r="E88" s="77"/>
      <c r="F88" s="77"/>
      <c r="G88" s="77"/>
      <c r="H88" s="77"/>
      <c r="I88" s="77"/>
      <c r="J88" s="77">
        <f t="shared" si="9"/>
        <v>22543.16</v>
      </c>
      <c r="K88" s="77">
        <v>1628.7</v>
      </c>
      <c r="L88" s="77">
        <f t="shared" si="7"/>
        <v>20914.46</v>
      </c>
      <c r="M88" s="78">
        <f t="shared" si="11"/>
        <v>1.9074216667993753E-3</v>
      </c>
      <c r="N88" s="65"/>
      <c r="O88" s="65"/>
    </row>
    <row r="89" spans="1:15" ht="17.100000000000001" customHeight="1" x14ac:dyDescent="0.2">
      <c r="A89" s="88" t="s">
        <v>187</v>
      </c>
      <c r="B89" s="72" t="s">
        <v>275</v>
      </c>
      <c r="C89" s="77">
        <v>1250</v>
      </c>
      <c r="D89" s="77"/>
      <c r="E89" s="77"/>
      <c r="F89" s="77"/>
      <c r="G89" s="77"/>
      <c r="H89" s="77"/>
      <c r="I89" s="77"/>
      <c r="J89" s="77">
        <f t="shared" si="9"/>
        <v>1250</v>
      </c>
      <c r="K89" s="77">
        <v>0</v>
      </c>
      <c r="L89" s="77">
        <f t="shared" ref="L89:L121" si="12">J89-K89</f>
        <v>1250</v>
      </c>
      <c r="M89" s="78">
        <f t="shared" si="11"/>
        <v>0</v>
      </c>
      <c r="N89" s="65"/>
      <c r="O89" s="65"/>
    </row>
    <row r="90" spans="1:15" ht="17.100000000000001" customHeight="1" x14ac:dyDescent="0.2">
      <c r="A90" s="88" t="s">
        <v>189</v>
      </c>
      <c r="B90" s="72" t="s">
        <v>76</v>
      </c>
      <c r="C90" s="77">
        <v>165089.08000000002</v>
      </c>
      <c r="D90" s="77"/>
      <c r="E90" s="77">
        <v>2000</v>
      </c>
      <c r="F90" s="77"/>
      <c r="G90" s="77"/>
      <c r="H90" s="77"/>
      <c r="I90" s="77"/>
      <c r="J90" s="77">
        <f t="shared" si="9"/>
        <v>163089.08000000002</v>
      </c>
      <c r="K90" s="77">
        <v>0</v>
      </c>
      <c r="L90" s="77">
        <f t="shared" si="12"/>
        <v>163089.08000000002</v>
      </c>
      <c r="M90" s="78">
        <f t="shared" si="11"/>
        <v>0</v>
      </c>
      <c r="N90" s="65"/>
      <c r="O90" s="65"/>
    </row>
    <row r="91" spans="1:15" ht="17.100000000000001" customHeight="1" x14ac:dyDescent="0.2">
      <c r="A91" s="88" t="s">
        <v>190</v>
      </c>
      <c r="B91" s="72" t="s">
        <v>77</v>
      </c>
      <c r="C91" s="77">
        <v>0</v>
      </c>
      <c r="D91" s="77"/>
      <c r="E91" s="77"/>
      <c r="F91" s="77"/>
      <c r="G91" s="77"/>
      <c r="H91" s="77"/>
      <c r="I91" s="77"/>
      <c r="J91" s="77">
        <f t="shared" si="9"/>
        <v>0</v>
      </c>
      <c r="K91" s="77">
        <v>0</v>
      </c>
      <c r="L91" s="77">
        <f t="shared" si="12"/>
        <v>0</v>
      </c>
      <c r="M91" s="78">
        <f t="shared" si="11"/>
        <v>0</v>
      </c>
      <c r="N91" s="65"/>
      <c r="O91" s="65"/>
    </row>
    <row r="92" spans="1:15" ht="17.100000000000001" customHeight="1" x14ac:dyDescent="0.2">
      <c r="A92" s="88" t="s">
        <v>256</v>
      </c>
      <c r="B92" s="72" t="s">
        <v>257</v>
      </c>
      <c r="C92" s="77">
        <v>0</v>
      </c>
      <c r="D92" s="77">
        <v>1200</v>
      </c>
      <c r="E92" s="77"/>
      <c r="F92" s="77"/>
      <c r="G92" s="77"/>
      <c r="H92" s="77"/>
      <c r="I92" s="77"/>
      <c r="J92" s="77">
        <f t="shared" si="9"/>
        <v>1200</v>
      </c>
      <c r="K92" s="77">
        <v>0</v>
      </c>
      <c r="L92" s="77">
        <f t="shared" si="12"/>
        <v>1200</v>
      </c>
      <c r="M92" s="78">
        <f t="shared" si="11"/>
        <v>0</v>
      </c>
      <c r="N92" s="65"/>
      <c r="O92" s="65"/>
    </row>
    <row r="93" spans="1:15" ht="17.100000000000001" customHeight="1" x14ac:dyDescent="0.2">
      <c r="A93" s="88" t="s">
        <v>258</v>
      </c>
      <c r="B93" s="72" t="s">
        <v>259</v>
      </c>
      <c r="C93" s="77">
        <v>0</v>
      </c>
      <c r="D93" s="77">
        <v>750</v>
      </c>
      <c r="E93" s="77"/>
      <c r="F93" s="77"/>
      <c r="G93" s="77"/>
      <c r="H93" s="77"/>
      <c r="I93" s="77"/>
      <c r="J93" s="77">
        <f t="shared" si="9"/>
        <v>750</v>
      </c>
      <c r="K93" s="77">
        <v>0</v>
      </c>
      <c r="L93" s="77">
        <f t="shared" si="12"/>
        <v>750</v>
      </c>
      <c r="M93" s="78">
        <f t="shared" si="11"/>
        <v>0</v>
      </c>
      <c r="N93" s="65"/>
      <c r="O93" s="65"/>
    </row>
    <row r="94" spans="1:15" ht="17.100000000000001" customHeight="1" x14ac:dyDescent="0.2">
      <c r="A94" s="88" t="s">
        <v>191</v>
      </c>
      <c r="B94" s="72" t="s">
        <v>78</v>
      </c>
      <c r="C94" s="77">
        <v>1000</v>
      </c>
      <c r="D94" s="77"/>
      <c r="E94" s="77"/>
      <c r="F94" s="77"/>
      <c r="G94" s="77"/>
      <c r="H94" s="77"/>
      <c r="I94" s="77"/>
      <c r="J94" s="77">
        <f t="shared" si="9"/>
        <v>1000</v>
      </c>
      <c r="K94" s="77">
        <v>682.6</v>
      </c>
      <c r="L94" s="77">
        <f t="shared" si="12"/>
        <v>317.39999999999998</v>
      </c>
      <c r="M94" s="78">
        <f t="shared" si="11"/>
        <v>7.9941427503975781E-4</v>
      </c>
      <c r="N94" s="65"/>
      <c r="O94" s="65"/>
    </row>
    <row r="95" spans="1:15" ht="17.100000000000001" customHeight="1" x14ac:dyDescent="0.2">
      <c r="A95" s="88" t="s">
        <v>192</v>
      </c>
      <c r="B95" s="72" t="s">
        <v>79</v>
      </c>
      <c r="C95" s="77">
        <v>7500</v>
      </c>
      <c r="D95" s="77"/>
      <c r="E95" s="77"/>
      <c r="F95" s="77"/>
      <c r="G95" s="77"/>
      <c r="H95" s="77"/>
      <c r="I95" s="77"/>
      <c r="J95" s="77">
        <f t="shared" si="9"/>
        <v>7500</v>
      </c>
      <c r="K95" s="77">
        <v>0</v>
      </c>
      <c r="L95" s="77">
        <f t="shared" si="12"/>
        <v>7500</v>
      </c>
      <c r="M95" s="78">
        <f t="shared" si="11"/>
        <v>0</v>
      </c>
      <c r="N95" s="65"/>
      <c r="O95" s="65"/>
    </row>
    <row r="96" spans="1:15" ht="17.100000000000001" customHeight="1" x14ac:dyDescent="0.2">
      <c r="A96" s="88" t="s">
        <v>193</v>
      </c>
      <c r="B96" s="72" t="s">
        <v>194</v>
      </c>
      <c r="C96" s="77">
        <v>1125749.23</v>
      </c>
      <c r="D96" s="77"/>
      <c r="E96" s="77">
        <v>8775</v>
      </c>
      <c r="F96" s="77"/>
      <c r="G96" s="77"/>
      <c r="H96" s="77"/>
      <c r="I96" s="77"/>
      <c r="J96" s="77">
        <f t="shared" si="9"/>
        <v>1116974.23</v>
      </c>
      <c r="K96" s="77">
        <v>0</v>
      </c>
      <c r="L96" s="77">
        <f t="shared" si="12"/>
        <v>1116974.23</v>
      </c>
      <c r="M96" s="78">
        <f t="shared" si="11"/>
        <v>0</v>
      </c>
      <c r="N96" s="65"/>
      <c r="O96" s="65"/>
    </row>
    <row r="97" spans="1:15" ht="17.100000000000001" customHeight="1" x14ac:dyDescent="0.2">
      <c r="A97" s="88" t="s">
        <v>260</v>
      </c>
      <c r="B97" s="72" t="s">
        <v>261</v>
      </c>
      <c r="C97" s="77">
        <v>0</v>
      </c>
      <c r="D97" s="77">
        <v>1750</v>
      </c>
      <c r="E97" s="77"/>
      <c r="F97" s="77"/>
      <c r="G97" s="77"/>
      <c r="H97" s="77"/>
      <c r="I97" s="77"/>
      <c r="J97" s="77">
        <f t="shared" si="9"/>
        <v>1750</v>
      </c>
      <c r="K97" s="77">
        <v>0</v>
      </c>
      <c r="L97" s="77">
        <f t="shared" si="12"/>
        <v>1750</v>
      </c>
      <c r="M97" s="78">
        <f t="shared" si="11"/>
        <v>0</v>
      </c>
      <c r="N97" s="65"/>
      <c r="O97" s="65"/>
    </row>
    <row r="98" spans="1:15" ht="17.100000000000001" customHeight="1" x14ac:dyDescent="0.2">
      <c r="A98" s="88" t="s">
        <v>195</v>
      </c>
      <c r="B98" s="72" t="s">
        <v>80</v>
      </c>
      <c r="C98" s="77">
        <v>9940</v>
      </c>
      <c r="D98" s="77"/>
      <c r="E98" s="77">
        <v>625</v>
      </c>
      <c r="F98" s="77"/>
      <c r="G98" s="77"/>
      <c r="H98" s="77"/>
      <c r="I98" s="77"/>
      <c r="J98" s="77">
        <f t="shared" si="9"/>
        <v>9315</v>
      </c>
      <c r="K98" s="77">
        <v>989.05</v>
      </c>
      <c r="L98" s="77">
        <f t="shared" si="12"/>
        <v>8325.9500000000007</v>
      </c>
      <c r="M98" s="78">
        <f t="shared" si="11"/>
        <v>1.1583074842192681E-3</v>
      </c>
      <c r="N98" s="65"/>
      <c r="O98" s="65"/>
    </row>
    <row r="99" spans="1:15" ht="17.100000000000001" customHeight="1" x14ac:dyDescent="0.2">
      <c r="A99" s="88" t="s">
        <v>196</v>
      </c>
      <c r="B99" s="72" t="s">
        <v>197</v>
      </c>
      <c r="C99" s="77">
        <v>2250</v>
      </c>
      <c r="D99" s="77"/>
      <c r="E99" s="77">
        <v>450</v>
      </c>
      <c r="F99" s="77"/>
      <c r="G99" s="77"/>
      <c r="H99" s="77"/>
      <c r="I99" s="77"/>
      <c r="J99" s="77">
        <f t="shared" si="9"/>
        <v>1800</v>
      </c>
      <c r="K99" s="77">
        <v>245.04999999999998</v>
      </c>
      <c r="L99" s="77">
        <f t="shared" si="12"/>
        <v>1554.95</v>
      </c>
      <c r="M99" s="78">
        <f t="shared" si="11"/>
        <v>2.8698574289260569E-4</v>
      </c>
      <c r="N99" s="65"/>
      <c r="O99" s="65"/>
    </row>
    <row r="100" spans="1:15" ht="17.100000000000001" customHeight="1" x14ac:dyDescent="0.2">
      <c r="A100" s="88" t="s">
        <v>198</v>
      </c>
      <c r="B100" s="72" t="s">
        <v>81</v>
      </c>
      <c r="C100" s="77">
        <v>122483.72</v>
      </c>
      <c r="D100" s="77"/>
      <c r="E100" s="77">
        <v>31960</v>
      </c>
      <c r="F100" s="77"/>
      <c r="G100" s="77"/>
      <c r="H100" s="77"/>
      <c r="I100" s="77"/>
      <c r="J100" s="77">
        <f t="shared" si="9"/>
        <v>90523.72</v>
      </c>
      <c r="K100" s="77">
        <v>0</v>
      </c>
      <c r="L100" s="77">
        <f t="shared" si="12"/>
        <v>90523.72</v>
      </c>
      <c r="M100" s="78">
        <f t="shared" si="11"/>
        <v>0</v>
      </c>
      <c r="N100" s="65"/>
      <c r="O100" s="65"/>
    </row>
    <row r="101" spans="1:15" ht="17.100000000000001" customHeight="1" x14ac:dyDescent="0.2">
      <c r="A101" s="88" t="s">
        <v>199</v>
      </c>
      <c r="B101" s="72" t="s">
        <v>200</v>
      </c>
      <c r="C101" s="77">
        <v>650</v>
      </c>
      <c r="D101" s="77"/>
      <c r="E101" s="77">
        <v>150</v>
      </c>
      <c r="F101" s="77"/>
      <c r="G101" s="77"/>
      <c r="H101" s="77"/>
      <c r="I101" s="77"/>
      <c r="J101" s="77">
        <f t="shared" si="9"/>
        <v>500</v>
      </c>
      <c r="K101" s="77">
        <v>0</v>
      </c>
      <c r="L101" s="77">
        <f t="shared" si="12"/>
        <v>500</v>
      </c>
      <c r="M101" s="78">
        <f t="shared" si="11"/>
        <v>0</v>
      </c>
      <c r="N101" s="65"/>
      <c r="O101" s="65"/>
    </row>
    <row r="102" spans="1:15" ht="17.100000000000001" customHeight="1" x14ac:dyDescent="0.2">
      <c r="A102" s="88" t="s">
        <v>201</v>
      </c>
      <c r="B102" s="72" t="s">
        <v>202</v>
      </c>
      <c r="C102" s="77">
        <v>6900</v>
      </c>
      <c r="D102" s="77"/>
      <c r="E102" s="77">
        <v>300</v>
      </c>
      <c r="F102" s="77"/>
      <c r="G102" s="77"/>
      <c r="H102" s="77"/>
      <c r="I102" s="77"/>
      <c r="J102" s="77">
        <f t="shared" si="9"/>
        <v>6600</v>
      </c>
      <c r="K102" s="77">
        <v>7</v>
      </c>
      <c r="L102" s="77">
        <f t="shared" si="12"/>
        <v>6593</v>
      </c>
      <c r="M102" s="78">
        <f t="shared" si="11"/>
        <v>8.1979196092562336E-6</v>
      </c>
      <c r="N102" s="65"/>
      <c r="O102" s="65"/>
    </row>
    <row r="103" spans="1:15" ht="17.100000000000001" customHeight="1" x14ac:dyDescent="0.2">
      <c r="A103" s="88" t="s">
        <v>203</v>
      </c>
      <c r="B103" s="72" t="s">
        <v>82</v>
      </c>
      <c r="C103" s="77">
        <v>85470</v>
      </c>
      <c r="D103" s="77"/>
      <c r="E103" s="77">
        <v>5669</v>
      </c>
      <c r="F103" s="77"/>
      <c r="G103" s="77"/>
      <c r="H103" s="77"/>
      <c r="I103" s="77"/>
      <c r="J103" s="77">
        <f t="shared" si="9"/>
        <v>79801</v>
      </c>
      <c r="K103" s="77">
        <v>7737.14</v>
      </c>
      <c r="L103" s="77">
        <f t="shared" si="12"/>
        <v>72063.86</v>
      </c>
      <c r="M103" s="78">
        <f t="shared" si="11"/>
        <v>9.0612073893658242E-3</v>
      </c>
      <c r="N103" s="65"/>
      <c r="O103" s="65"/>
    </row>
    <row r="104" spans="1:15" ht="17.100000000000001" customHeight="1" x14ac:dyDescent="0.2">
      <c r="A104" s="88" t="s">
        <v>204</v>
      </c>
      <c r="B104" s="72" t="s">
        <v>83</v>
      </c>
      <c r="C104" s="77">
        <v>15600</v>
      </c>
      <c r="D104" s="77"/>
      <c r="E104" s="77">
        <v>3600</v>
      </c>
      <c r="F104" s="77"/>
      <c r="G104" s="77"/>
      <c r="H104" s="77"/>
      <c r="I104" s="77"/>
      <c r="J104" s="77">
        <f t="shared" si="9"/>
        <v>12000</v>
      </c>
      <c r="K104" s="77">
        <v>533.74</v>
      </c>
      <c r="L104" s="77">
        <f t="shared" si="12"/>
        <v>11466.26</v>
      </c>
      <c r="M104" s="78">
        <f t="shared" si="11"/>
        <v>6.2507965889206023E-4</v>
      </c>
      <c r="N104" s="65"/>
      <c r="O104" s="65"/>
    </row>
    <row r="105" spans="1:15" ht="17.100000000000001" customHeight="1" x14ac:dyDescent="0.2">
      <c r="A105" s="88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  <c r="N105" s="65"/>
      <c r="O105" s="65"/>
    </row>
    <row r="106" spans="1:15" ht="17.100000000000001" customHeight="1" x14ac:dyDescent="0.25">
      <c r="A106" s="86">
        <v>3</v>
      </c>
      <c r="B106" s="87" t="s">
        <v>84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8"/>
      <c r="N106" s="65"/>
      <c r="O106" s="65"/>
    </row>
    <row r="107" spans="1:15" ht="17.100000000000001" customHeight="1" x14ac:dyDescent="0.2">
      <c r="A107" s="88" t="s">
        <v>205</v>
      </c>
      <c r="B107" s="72" t="s">
        <v>85</v>
      </c>
      <c r="C107" s="77">
        <v>162200</v>
      </c>
      <c r="D107" s="77"/>
      <c r="E107" s="77"/>
      <c r="F107" s="77"/>
      <c r="G107" s="77"/>
      <c r="H107" s="77"/>
      <c r="I107" s="77"/>
      <c r="J107" s="77">
        <f t="shared" ref="J107:J121" si="13">C107+D107-E107+F107-G107+H107-I107</f>
        <v>162200</v>
      </c>
      <c r="K107" s="77">
        <v>0</v>
      </c>
      <c r="L107" s="77">
        <f t="shared" si="12"/>
        <v>162200</v>
      </c>
      <c r="M107" s="78">
        <f t="shared" ref="M107:M112" si="14">K107/$K$123</f>
        <v>0</v>
      </c>
      <c r="N107" s="65"/>
      <c r="O107" s="65"/>
    </row>
    <row r="108" spans="1:15" ht="17.100000000000001" customHeight="1" x14ac:dyDescent="0.2">
      <c r="A108" s="88" t="s">
        <v>206</v>
      </c>
      <c r="B108" s="72" t="s">
        <v>207</v>
      </c>
      <c r="C108" s="77">
        <v>0</v>
      </c>
      <c r="D108" s="77"/>
      <c r="E108" s="77"/>
      <c r="F108" s="77"/>
      <c r="G108" s="77"/>
      <c r="H108" s="77"/>
      <c r="I108" s="77"/>
      <c r="J108" s="77">
        <f t="shared" si="13"/>
        <v>0</v>
      </c>
      <c r="K108" s="77">
        <v>0</v>
      </c>
      <c r="L108" s="77">
        <f t="shared" si="12"/>
        <v>0</v>
      </c>
      <c r="M108" s="78">
        <f t="shared" si="14"/>
        <v>0</v>
      </c>
      <c r="N108" s="65"/>
      <c r="O108" s="65"/>
    </row>
    <row r="109" spans="1:15" ht="17.100000000000001" customHeight="1" x14ac:dyDescent="0.2">
      <c r="A109" s="88" t="s">
        <v>208</v>
      </c>
      <c r="B109" s="72" t="s">
        <v>209</v>
      </c>
      <c r="C109" s="77">
        <v>1856690.49</v>
      </c>
      <c r="D109" s="77"/>
      <c r="E109" s="77"/>
      <c r="F109" s="77"/>
      <c r="G109" s="77"/>
      <c r="H109" s="77"/>
      <c r="I109" s="77"/>
      <c r="J109" s="77">
        <f t="shared" si="13"/>
        <v>1856690.49</v>
      </c>
      <c r="K109" s="77">
        <v>0</v>
      </c>
      <c r="L109" s="77">
        <f t="shared" si="12"/>
        <v>1856690.49</v>
      </c>
      <c r="M109" s="78">
        <f t="shared" si="14"/>
        <v>0</v>
      </c>
      <c r="N109" s="65"/>
      <c r="O109" s="65"/>
    </row>
    <row r="110" spans="1:15" ht="17.100000000000001" customHeight="1" x14ac:dyDescent="0.2">
      <c r="A110" s="88" t="s">
        <v>210</v>
      </c>
      <c r="B110" s="72" t="s">
        <v>211</v>
      </c>
      <c r="C110" s="77">
        <v>200000</v>
      </c>
      <c r="D110" s="77"/>
      <c r="E110" s="77"/>
      <c r="F110" s="77"/>
      <c r="G110" s="77"/>
      <c r="H110" s="77"/>
      <c r="I110" s="77"/>
      <c r="J110" s="77">
        <f t="shared" si="13"/>
        <v>200000</v>
      </c>
      <c r="K110" s="77">
        <v>0</v>
      </c>
      <c r="L110" s="77">
        <f t="shared" si="12"/>
        <v>200000</v>
      </c>
      <c r="M110" s="78">
        <f t="shared" si="14"/>
        <v>0</v>
      </c>
      <c r="N110" s="65"/>
      <c r="O110" s="65"/>
    </row>
    <row r="111" spans="1:15" ht="17.100000000000001" customHeight="1" x14ac:dyDescent="0.2">
      <c r="A111" s="88" t="s">
        <v>212</v>
      </c>
      <c r="B111" s="72" t="s">
        <v>213</v>
      </c>
      <c r="C111" s="77">
        <v>500</v>
      </c>
      <c r="D111" s="77"/>
      <c r="E111" s="77"/>
      <c r="F111" s="77"/>
      <c r="G111" s="77"/>
      <c r="H111" s="77"/>
      <c r="I111" s="77"/>
      <c r="J111" s="77">
        <f t="shared" si="13"/>
        <v>500</v>
      </c>
      <c r="K111" s="77">
        <v>0</v>
      </c>
      <c r="L111" s="77">
        <f t="shared" si="12"/>
        <v>500</v>
      </c>
      <c r="M111" s="78">
        <f t="shared" si="14"/>
        <v>0</v>
      </c>
      <c r="N111" s="65"/>
      <c r="O111" s="65"/>
    </row>
    <row r="112" spans="1:15" ht="17.100000000000001" customHeight="1" x14ac:dyDescent="0.2">
      <c r="A112" s="88" t="s">
        <v>214</v>
      </c>
      <c r="B112" s="72" t="s">
        <v>215</v>
      </c>
      <c r="C112" s="77">
        <v>17500</v>
      </c>
      <c r="D112" s="77"/>
      <c r="E112" s="77"/>
      <c r="F112" s="77"/>
      <c r="G112" s="77"/>
      <c r="H112" s="77"/>
      <c r="I112" s="77"/>
      <c r="J112" s="77">
        <f t="shared" si="13"/>
        <v>17500</v>
      </c>
      <c r="K112" s="77">
        <v>380</v>
      </c>
      <c r="L112" s="77">
        <f t="shared" si="12"/>
        <v>17120</v>
      </c>
      <c r="M112" s="78">
        <f t="shared" si="14"/>
        <v>4.4502992164533839E-4</v>
      </c>
      <c r="N112" s="65"/>
      <c r="O112" s="65"/>
    </row>
    <row r="113" spans="1:15" ht="17.100000000000001" customHeight="1" x14ac:dyDescent="0.2">
      <c r="A113" s="88" t="s">
        <v>216</v>
      </c>
      <c r="B113" s="72" t="s">
        <v>217</v>
      </c>
      <c r="C113" s="77">
        <v>20500</v>
      </c>
      <c r="D113" s="77"/>
      <c r="E113" s="77"/>
      <c r="F113" s="77"/>
      <c r="G113" s="77"/>
      <c r="H113" s="77"/>
      <c r="I113" s="77"/>
      <c r="J113" s="77">
        <f t="shared" si="13"/>
        <v>20500</v>
      </c>
      <c r="K113" s="77">
        <v>0</v>
      </c>
      <c r="L113" s="77">
        <f t="shared" si="12"/>
        <v>20500</v>
      </c>
      <c r="M113" s="78"/>
      <c r="N113" s="65"/>
      <c r="O113" s="65"/>
    </row>
    <row r="114" spans="1:15" ht="17.100000000000001" customHeight="1" x14ac:dyDescent="0.2">
      <c r="A114" s="88" t="s">
        <v>218</v>
      </c>
      <c r="B114" s="72" t="s">
        <v>219</v>
      </c>
      <c r="C114" s="77">
        <v>2784974.71</v>
      </c>
      <c r="D114" s="77"/>
      <c r="E114" s="77"/>
      <c r="F114" s="77"/>
      <c r="G114" s="77"/>
      <c r="H114" s="77"/>
      <c r="I114" s="77"/>
      <c r="J114" s="77">
        <f t="shared" si="13"/>
        <v>2784974.71</v>
      </c>
      <c r="K114" s="77">
        <v>0</v>
      </c>
      <c r="L114" s="77">
        <f t="shared" si="12"/>
        <v>2784974.71</v>
      </c>
      <c r="M114" s="78"/>
      <c r="N114" s="65"/>
      <c r="O114" s="65"/>
    </row>
    <row r="115" spans="1:15" ht="17.100000000000001" customHeight="1" x14ac:dyDescent="0.2">
      <c r="A115" s="88"/>
      <c r="B115" s="72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8"/>
      <c r="N115" s="65"/>
      <c r="O115" s="65"/>
    </row>
    <row r="116" spans="1:15" ht="17.100000000000001" customHeight="1" x14ac:dyDescent="0.25">
      <c r="A116" s="86">
        <v>4</v>
      </c>
      <c r="B116" s="87" t="s">
        <v>86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8"/>
      <c r="N116" s="65"/>
      <c r="O116" s="65"/>
    </row>
    <row r="117" spans="1:15" ht="17.100000000000001" customHeight="1" x14ac:dyDescent="0.2">
      <c r="A117" s="88" t="s">
        <v>220</v>
      </c>
      <c r="B117" s="72" t="s">
        <v>221</v>
      </c>
      <c r="C117" s="77">
        <v>20750</v>
      </c>
      <c r="D117" s="77"/>
      <c r="E117" s="77"/>
      <c r="F117" s="77"/>
      <c r="G117" s="77"/>
      <c r="H117" s="77"/>
      <c r="I117" s="77"/>
      <c r="J117" s="77">
        <f t="shared" si="13"/>
        <v>20750</v>
      </c>
      <c r="K117" s="77">
        <v>0</v>
      </c>
      <c r="L117" s="77">
        <f t="shared" si="12"/>
        <v>20750</v>
      </c>
      <c r="M117" s="78">
        <f>K117/$K$123</f>
        <v>0</v>
      </c>
      <c r="N117" s="65"/>
      <c r="O117" s="65"/>
    </row>
    <row r="118" spans="1:15" ht="17.100000000000001" customHeight="1" x14ac:dyDescent="0.2">
      <c r="A118" s="88" t="s">
        <v>222</v>
      </c>
      <c r="B118" s="72" t="s">
        <v>223</v>
      </c>
      <c r="C118" s="77">
        <v>7600</v>
      </c>
      <c r="D118" s="77"/>
      <c r="E118" s="77"/>
      <c r="F118" s="77"/>
      <c r="G118" s="77"/>
      <c r="H118" s="77"/>
      <c r="I118" s="77"/>
      <c r="J118" s="77">
        <f t="shared" si="13"/>
        <v>7600</v>
      </c>
      <c r="K118" s="77">
        <v>0</v>
      </c>
      <c r="L118" s="77">
        <f t="shared" si="12"/>
        <v>7600</v>
      </c>
      <c r="M118" s="78">
        <f>K118/$K$123</f>
        <v>0</v>
      </c>
      <c r="N118" s="65"/>
      <c r="O118" s="65"/>
    </row>
    <row r="119" spans="1:15" ht="17.100000000000001" customHeight="1" x14ac:dyDescent="0.2">
      <c r="A119" s="88" t="s">
        <v>224</v>
      </c>
      <c r="B119" s="72" t="s">
        <v>240</v>
      </c>
      <c r="C119" s="77">
        <v>9600</v>
      </c>
      <c r="D119" s="77"/>
      <c r="E119" s="77"/>
      <c r="F119" s="77"/>
      <c r="G119" s="77"/>
      <c r="H119" s="77"/>
      <c r="I119" s="77"/>
      <c r="J119" s="77">
        <f t="shared" si="13"/>
        <v>9600</v>
      </c>
      <c r="K119" s="77">
        <v>4400</v>
      </c>
      <c r="L119" s="77">
        <f t="shared" si="12"/>
        <v>5200</v>
      </c>
      <c r="M119" s="78">
        <f>K119/$K$123</f>
        <v>5.1529780401039183E-3</v>
      </c>
      <c r="N119" s="65"/>
      <c r="O119" s="65"/>
    </row>
    <row r="120" spans="1:15" ht="17.100000000000001" customHeight="1" x14ac:dyDescent="0.2">
      <c r="A120" s="88" t="s">
        <v>226</v>
      </c>
      <c r="B120" s="72" t="s">
        <v>227</v>
      </c>
      <c r="C120" s="77">
        <v>0</v>
      </c>
      <c r="D120" s="77">
        <v>20000</v>
      </c>
      <c r="E120" s="77"/>
      <c r="F120" s="77"/>
      <c r="G120" s="77"/>
      <c r="H120" s="77"/>
      <c r="I120" s="77"/>
      <c r="J120" s="77">
        <f t="shared" si="13"/>
        <v>20000</v>
      </c>
      <c r="K120" s="77">
        <v>0</v>
      </c>
      <c r="L120" s="77">
        <f t="shared" si="12"/>
        <v>20000</v>
      </c>
      <c r="M120" s="78">
        <f>K120/$K$123</f>
        <v>0</v>
      </c>
      <c r="N120" s="65"/>
      <c r="O120" s="65"/>
    </row>
    <row r="121" spans="1:15" s="65" customFormat="1" ht="17.100000000000001" customHeight="1" x14ac:dyDescent="0.2">
      <c r="A121" s="88" t="s">
        <v>228</v>
      </c>
      <c r="B121" s="72" t="s">
        <v>87</v>
      </c>
      <c r="C121" s="89">
        <v>11050</v>
      </c>
      <c r="D121" s="89"/>
      <c r="E121" s="89"/>
      <c r="F121" s="89"/>
      <c r="G121" s="89"/>
      <c r="H121" s="89"/>
      <c r="I121" s="89"/>
      <c r="J121" s="89">
        <f t="shared" si="13"/>
        <v>11050</v>
      </c>
      <c r="K121" s="89">
        <v>806.89</v>
      </c>
      <c r="L121" s="89">
        <f t="shared" si="12"/>
        <v>10243.11</v>
      </c>
      <c r="M121" s="78">
        <f>K121/$K$123</f>
        <v>9.44974193358966E-4</v>
      </c>
    </row>
    <row r="122" spans="1:15" s="65" customFormat="1" ht="17.100000000000001" customHeight="1" thickBot="1" x14ac:dyDescent="0.25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3"/>
    </row>
    <row r="123" spans="1:15" s="65" customFormat="1" ht="17.100000000000001" customHeight="1" thickBot="1" x14ac:dyDescent="0.3">
      <c r="A123" s="80"/>
      <c r="B123" s="80" t="s">
        <v>88</v>
      </c>
      <c r="C123" s="81">
        <f>SUM(C25:C122)</f>
        <v>10804273.189999999</v>
      </c>
      <c r="D123" s="81">
        <f t="shared" ref="D123:E123" si="15">SUM(D25:D122)</f>
        <v>191539.09</v>
      </c>
      <c r="E123" s="81">
        <f t="shared" si="15"/>
        <v>94829</v>
      </c>
      <c r="F123" s="81">
        <v>0</v>
      </c>
      <c r="G123" s="81">
        <v>0</v>
      </c>
      <c r="H123" s="81">
        <v>0</v>
      </c>
      <c r="I123" s="81">
        <v>0</v>
      </c>
      <c r="J123" s="81">
        <f>SUM(J25:J122)</f>
        <v>10900983.280000001</v>
      </c>
      <c r="K123" s="81">
        <f>SUM(K25:K122)</f>
        <v>853875.17</v>
      </c>
      <c r="L123" s="81">
        <f>SUM(L25:L122)</f>
        <v>10047108.109999999</v>
      </c>
      <c r="M123" s="94">
        <v>1</v>
      </c>
    </row>
    <row r="124" spans="1:15" s="65" customFormat="1" ht="15" x14ac:dyDescent="0.2">
      <c r="C124" s="95"/>
      <c r="D124" s="96"/>
      <c r="E124" s="97"/>
      <c r="F124" s="97"/>
      <c r="G124" s="97"/>
      <c r="H124" s="97"/>
      <c r="I124" s="97"/>
      <c r="J124" s="95"/>
      <c r="K124" s="98"/>
      <c r="L124" s="97"/>
    </row>
    <row r="125" spans="1:15" s="65" customFormat="1" ht="15.75" thickBot="1" x14ac:dyDescent="0.25">
      <c r="C125" s="97"/>
      <c r="D125" s="97"/>
      <c r="E125" s="97"/>
      <c r="F125" s="97"/>
      <c r="G125" s="97"/>
      <c r="H125" s="97"/>
      <c r="I125" s="97"/>
      <c r="J125" s="99"/>
      <c r="K125" s="99"/>
      <c r="L125" s="97"/>
    </row>
    <row r="126" spans="1:15" s="65" customFormat="1" ht="15.75" x14ac:dyDescent="0.25">
      <c r="A126" s="100" t="s">
        <v>89</v>
      </c>
      <c r="B126" s="101"/>
      <c r="C126" s="102"/>
      <c r="D126" s="97"/>
      <c r="E126" s="97"/>
      <c r="F126" s="97"/>
      <c r="G126" s="97"/>
      <c r="H126" s="97"/>
      <c r="I126" s="97"/>
      <c r="J126" s="97"/>
      <c r="K126" s="99"/>
      <c r="L126" s="97"/>
    </row>
    <row r="127" spans="1:15" s="65" customFormat="1" ht="15.75" x14ac:dyDescent="0.25">
      <c r="A127" s="103" t="s">
        <v>3</v>
      </c>
      <c r="B127" s="104"/>
      <c r="C127" s="105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1:15" s="65" customFormat="1" ht="8.1" customHeight="1" thickBot="1" x14ac:dyDescent="0.25">
      <c r="A128" s="106"/>
      <c r="B128" s="107"/>
      <c r="C128" s="108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1:12" s="65" customFormat="1" ht="8.1" customHeight="1" x14ac:dyDescent="0.2">
      <c r="A129" s="109"/>
      <c r="B129" s="110"/>
      <c r="C129" s="111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1:12" s="65" customFormat="1" ht="15.95" customHeight="1" x14ac:dyDescent="0.2">
      <c r="A130" s="112" t="s">
        <v>90</v>
      </c>
      <c r="B130" s="113"/>
      <c r="C130" s="114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1:12" s="65" customFormat="1" ht="15.95" customHeight="1" x14ac:dyDescent="0.2">
      <c r="A131" s="115" t="s">
        <v>229</v>
      </c>
      <c r="B131" s="113"/>
      <c r="C131" s="61">
        <f>198363.1+404138.05-4196.85</f>
        <v>598304.30000000005</v>
      </c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1:12" s="65" customFormat="1" ht="15.95" customHeight="1" x14ac:dyDescent="0.2">
      <c r="A132" s="115" t="s">
        <v>91</v>
      </c>
      <c r="B132" s="113"/>
      <c r="C132" s="61">
        <f>+K20</f>
        <v>1305185.8700000001</v>
      </c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1:12" s="65" customFormat="1" ht="15.95" customHeight="1" x14ac:dyDescent="0.2">
      <c r="A133" s="115" t="s">
        <v>92</v>
      </c>
      <c r="B133" s="113"/>
      <c r="C133" s="116">
        <f>-K123</f>
        <v>-853875.17</v>
      </c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1:12" s="65" customFormat="1" ht="15.95" customHeight="1" x14ac:dyDescent="0.25">
      <c r="A134" s="117" t="s">
        <v>93</v>
      </c>
      <c r="B134" s="118"/>
      <c r="C134" s="119">
        <f>SUM(C131:C133)</f>
        <v>1049615</v>
      </c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1:12" s="65" customFormat="1" ht="8.1" customHeight="1" x14ac:dyDescent="0.25">
      <c r="A135" s="117"/>
      <c r="B135" s="118"/>
      <c r="C135" s="119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1:12" s="65" customFormat="1" ht="15.95" customHeight="1" x14ac:dyDescent="0.2">
      <c r="A136" s="112" t="s">
        <v>273</v>
      </c>
      <c r="B136" s="113"/>
      <c r="C136" s="61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1:12" s="65" customFormat="1" ht="15.95" customHeight="1" x14ac:dyDescent="0.2">
      <c r="A137" s="115" t="s">
        <v>96</v>
      </c>
      <c r="B137" s="113"/>
      <c r="C137" s="61">
        <v>219.61</v>
      </c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1:12" s="65" customFormat="1" ht="15.95" customHeight="1" x14ac:dyDescent="0.2">
      <c r="A138" s="115" t="s">
        <v>262</v>
      </c>
      <c r="B138" s="113"/>
      <c r="C138" s="61">
        <v>2846.25</v>
      </c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1:12" s="65" customFormat="1" ht="15.95" customHeight="1" x14ac:dyDescent="0.2">
      <c r="A139" s="112" t="s">
        <v>274</v>
      </c>
      <c r="B139" s="113"/>
      <c r="C139" s="61"/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1:12" s="65" customFormat="1" ht="15.95" customHeight="1" x14ac:dyDescent="0.2">
      <c r="A140" s="115" t="s">
        <v>95</v>
      </c>
      <c r="B140" s="113"/>
      <c r="C140" s="61">
        <v>2917.9</v>
      </c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1:12" s="65" customFormat="1" ht="15.95" customHeight="1" x14ac:dyDescent="0.2">
      <c r="A141" s="115" t="s">
        <v>270</v>
      </c>
      <c r="B141" s="113"/>
      <c r="C141" s="61">
        <v>219.61</v>
      </c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1:12" s="65" customFormat="1" ht="15.95" customHeight="1" x14ac:dyDescent="0.2">
      <c r="A142" s="115" t="s">
        <v>269</v>
      </c>
      <c r="B142" s="113"/>
      <c r="C142" s="61">
        <v>2846.25</v>
      </c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1:12" s="65" customFormat="1" ht="15.95" customHeight="1" x14ac:dyDescent="0.2">
      <c r="A143" s="115" t="s">
        <v>97</v>
      </c>
      <c r="B143" s="113"/>
      <c r="C143" s="61">
        <f>1323.19+261.16+979.91+200.89</f>
        <v>2765.15</v>
      </c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1:12" s="65" customFormat="1" ht="5.0999999999999996" customHeight="1" x14ac:dyDescent="0.2">
      <c r="A144" s="115"/>
      <c r="B144" s="113"/>
      <c r="C144" s="116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1:12" s="65" customFormat="1" ht="15.75" x14ac:dyDescent="0.25">
      <c r="A145" s="117"/>
      <c r="B145" s="118"/>
      <c r="C145" s="119">
        <f>SUM(C137:C144)</f>
        <v>11814.769999999999</v>
      </c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1:12" s="65" customFormat="1" ht="5.0999999999999996" customHeight="1" x14ac:dyDescent="0.25">
      <c r="A146" s="117"/>
      <c r="B146" s="118"/>
      <c r="C146" s="120"/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1:12" s="65" customFormat="1" ht="8.1" customHeight="1" x14ac:dyDescent="0.25">
      <c r="A147" s="117"/>
      <c r="B147" s="118"/>
      <c r="C147" s="119"/>
      <c r="D147" s="97"/>
      <c r="E147" s="97"/>
      <c r="F147" s="97"/>
      <c r="G147" s="97"/>
      <c r="H147" s="97"/>
      <c r="I147" s="97"/>
      <c r="J147" s="97"/>
      <c r="K147" s="97"/>
      <c r="L147" s="97"/>
    </row>
    <row r="148" spans="1:12" s="65" customFormat="1" ht="16.5" thickBot="1" x14ac:dyDescent="0.3">
      <c r="A148" s="121" t="s">
        <v>271</v>
      </c>
      <c r="B148" s="122"/>
      <c r="C148" s="123">
        <f>C134+C145</f>
        <v>1061429.77</v>
      </c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1:12" s="65" customFormat="1" ht="15" x14ac:dyDescent="0.2">
      <c r="C149" s="99"/>
      <c r="D149" s="97"/>
      <c r="E149" s="97"/>
      <c r="F149" s="97"/>
      <c r="G149" s="97"/>
      <c r="H149" s="97"/>
      <c r="I149" s="97"/>
      <c r="J149" s="97"/>
      <c r="K149" s="97"/>
      <c r="L149" s="97"/>
    </row>
    <row r="150" spans="1:12" s="65" customFormat="1" ht="15" x14ac:dyDescent="0.2">
      <c r="C150" s="97"/>
    </row>
    <row r="151" spans="1:12" s="65" customFormat="1" ht="15" x14ac:dyDescent="0.2">
      <c r="B151" s="65" t="s">
        <v>272</v>
      </c>
    </row>
    <row r="152" spans="1:12" s="65" customFormat="1" ht="15" x14ac:dyDescent="0.2"/>
    <row r="153" spans="1:12" s="65" customFormat="1" ht="15" x14ac:dyDescent="0.2"/>
    <row r="154" spans="1:12" s="65" customFormat="1" ht="15" x14ac:dyDescent="0.2"/>
    <row r="155" spans="1:12" s="65" customFormat="1" ht="15" x14ac:dyDescent="0.2"/>
    <row r="156" spans="1:12" s="65" customFormat="1" ht="15" x14ac:dyDescent="0.2"/>
    <row r="157" spans="1:12" s="65" customFormat="1" ht="15" x14ac:dyDescent="0.2">
      <c r="B157" s="65" t="s">
        <v>98</v>
      </c>
      <c r="F157" s="65" t="s">
        <v>99</v>
      </c>
      <c r="I157" s="124" t="s">
        <v>104</v>
      </c>
    </row>
    <row r="158" spans="1:12" s="65" customFormat="1" ht="15" x14ac:dyDescent="0.2">
      <c r="B158" s="65" t="s">
        <v>100</v>
      </c>
      <c r="F158" s="65" t="s">
        <v>101</v>
      </c>
      <c r="I158" s="124" t="s">
        <v>105</v>
      </c>
    </row>
    <row r="166" spans="7:7" x14ac:dyDescent="0.2">
      <c r="G166" s="130"/>
    </row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9370078740157483" footer="0.39370078740157483"/>
  <pageSetup scale="61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showGridLines="0" topLeftCell="A120" zoomScale="85" zoomScaleNormal="85" workbookViewId="0">
      <selection activeCell="C144" sqref="C144"/>
    </sheetView>
  </sheetViews>
  <sheetFormatPr baseColWidth="10" defaultRowHeight="14.25" x14ac:dyDescent="0.2"/>
  <cols>
    <col min="1" max="1" width="11.7109375" style="66" customWidth="1"/>
    <col min="2" max="2" width="48.7109375" style="66" customWidth="1"/>
    <col min="3" max="3" width="16.28515625" style="66" customWidth="1"/>
    <col min="4" max="9" width="15.7109375" style="66" customWidth="1"/>
    <col min="10" max="10" width="16.28515625" style="66" customWidth="1"/>
    <col min="11" max="11" width="15.7109375" style="66" customWidth="1"/>
    <col min="12" max="12" width="16.28515625" style="66" customWidth="1"/>
    <col min="13" max="13" width="10.7109375" style="66" customWidth="1"/>
    <col min="14" max="14" width="7" style="66" customWidth="1"/>
    <col min="15" max="15" width="18.7109375" style="66" customWidth="1"/>
    <col min="16" max="16384" width="11.42578125" style="66"/>
  </cols>
  <sheetData>
    <row r="1" spans="1:15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</row>
    <row r="2" spans="1:15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</row>
    <row r="3" spans="1:15" ht="15.75" x14ac:dyDescent="0.25">
      <c r="A3" s="64" t="s">
        <v>279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</row>
    <row r="4" spans="1:15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5"/>
    </row>
    <row r="5" spans="1:15" ht="15.7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6.5" thickBot="1" x14ac:dyDescent="0.3">
      <c r="A6" s="67" t="s">
        <v>102</v>
      </c>
      <c r="B6" s="181" t="s">
        <v>5</v>
      </c>
      <c r="C6" s="68" t="s">
        <v>6</v>
      </c>
      <c r="D6" s="69" t="s">
        <v>7</v>
      </c>
      <c r="E6" s="69"/>
      <c r="F6" s="69" t="s">
        <v>8</v>
      </c>
      <c r="G6" s="69"/>
      <c r="H6" s="69" t="s">
        <v>9</v>
      </c>
      <c r="I6" s="69"/>
      <c r="J6" s="67" t="s">
        <v>6</v>
      </c>
      <c r="K6" s="183" t="s">
        <v>10</v>
      </c>
      <c r="L6" s="67" t="s">
        <v>11</v>
      </c>
      <c r="M6" s="68" t="s">
        <v>12</v>
      </c>
      <c r="N6" s="65"/>
      <c r="O6" s="65"/>
    </row>
    <row r="7" spans="1:15" ht="16.5" thickBot="1" x14ac:dyDescent="0.3">
      <c r="A7" s="70" t="s">
        <v>103</v>
      </c>
      <c r="B7" s="182"/>
      <c r="C7" s="70" t="s">
        <v>13</v>
      </c>
      <c r="D7" s="70" t="s">
        <v>14</v>
      </c>
      <c r="E7" s="70" t="s">
        <v>15</v>
      </c>
      <c r="F7" s="70" t="s">
        <v>14</v>
      </c>
      <c r="G7" s="70" t="s">
        <v>15</v>
      </c>
      <c r="H7" s="70" t="s">
        <v>14</v>
      </c>
      <c r="I7" s="70" t="s">
        <v>15</v>
      </c>
      <c r="J7" s="70" t="s">
        <v>16</v>
      </c>
      <c r="K7" s="184"/>
      <c r="L7" s="70" t="s">
        <v>17</v>
      </c>
      <c r="M7" s="71" t="s">
        <v>18</v>
      </c>
      <c r="N7" s="65"/>
      <c r="O7" s="65"/>
    </row>
    <row r="8" spans="1:15" s="113" customFormat="1" ht="8.1" customHeight="1" x14ac:dyDescent="0.2">
      <c r="A8" s="91"/>
      <c r="B8" s="9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91"/>
    </row>
    <row r="9" spans="1:15" s="113" customFormat="1" ht="17.100000000000001" customHeight="1" x14ac:dyDescent="0.25">
      <c r="A9" s="73"/>
      <c r="B9" s="74" t="s">
        <v>19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3"/>
    </row>
    <row r="10" spans="1:15" s="65" customFormat="1" ht="17.100000000000001" customHeight="1" x14ac:dyDescent="0.25">
      <c r="A10" s="72"/>
      <c r="B10" s="76" t="s">
        <v>20</v>
      </c>
      <c r="C10" s="77">
        <f>198363.1+404138.05</f>
        <v>602501.15</v>
      </c>
      <c r="D10" s="77"/>
      <c r="E10" s="77">
        <v>4196.8500000000004</v>
      </c>
      <c r="F10" s="77"/>
      <c r="G10" s="77"/>
      <c r="H10" s="77"/>
      <c r="I10" s="77"/>
      <c r="J10" s="77">
        <f>C10+D10-E10+F10-G10+H10-I10</f>
        <v>598304.30000000005</v>
      </c>
      <c r="K10" s="77">
        <v>0</v>
      </c>
      <c r="L10" s="77">
        <f>J10-K10</f>
        <v>598304.30000000005</v>
      </c>
      <c r="M10" s="78">
        <f>K10/$K$20</f>
        <v>0</v>
      </c>
    </row>
    <row r="11" spans="1:15" s="65" customFormat="1" ht="17.100000000000001" customHeight="1" x14ac:dyDescent="0.2">
      <c r="A11" s="72" t="s">
        <v>241</v>
      </c>
      <c r="B11" s="72" t="s">
        <v>265</v>
      </c>
      <c r="C11" s="77">
        <v>15000</v>
      </c>
      <c r="D11" s="77">
        <v>13000</v>
      </c>
      <c r="E11" s="77"/>
      <c r="F11" s="77">
        <v>12500</v>
      </c>
      <c r="G11" s="77"/>
      <c r="H11" s="77"/>
      <c r="I11" s="77"/>
      <c r="J11" s="77">
        <f>C11+D11-E11+F11-G11+H11-I11</f>
        <v>40500</v>
      </c>
      <c r="K11" s="77">
        <f>18632+5000+3400+1600+1200</f>
        <v>29832</v>
      </c>
      <c r="L11" s="77">
        <f>J11-K11</f>
        <v>10668</v>
      </c>
      <c r="M11" s="78">
        <f>K11/$K$20</f>
        <v>1.6872078796544343E-2</v>
      </c>
    </row>
    <row r="12" spans="1:15" s="65" customFormat="1" ht="17.100000000000001" customHeight="1" x14ac:dyDescent="0.2">
      <c r="A12" s="72" t="s">
        <v>242</v>
      </c>
      <c r="B12" s="72" t="s">
        <v>266</v>
      </c>
      <c r="C12" s="77">
        <v>65000</v>
      </c>
      <c r="D12" s="77"/>
      <c r="E12" s="77"/>
      <c r="F12" s="77"/>
      <c r="G12" s="77"/>
      <c r="H12" s="77"/>
      <c r="I12" s="77"/>
      <c r="J12" s="77">
        <f t="shared" ref="J12:J19" si="0">C12+D12-E12+F12-G12+H12-I12</f>
        <v>65000</v>
      </c>
      <c r="K12" s="77">
        <f>534+323+1088+416+1666</f>
        <v>4027</v>
      </c>
      <c r="L12" s="77">
        <f t="shared" ref="L12:L14" si="1">J12-K12</f>
        <v>60973</v>
      </c>
      <c r="M12" s="78">
        <f t="shared" ref="M12:M19" si="2">K12/$K$20</f>
        <v>2.2775496551918767E-3</v>
      </c>
    </row>
    <row r="13" spans="1:15" s="65" customFormat="1" ht="17.100000000000001" customHeight="1" x14ac:dyDescent="0.2">
      <c r="A13" s="79" t="s">
        <v>243</v>
      </c>
      <c r="B13" s="72" t="s">
        <v>267</v>
      </c>
      <c r="C13" s="77">
        <v>3500</v>
      </c>
      <c r="D13" s="77"/>
      <c r="E13" s="77"/>
      <c r="F13" s="77"/>
      <c r="G13" s="77"/>
      <c r="H13" s="77"/>
      <c r="I13" s="77"/>
      <c r="J13" s="77">
        <f t="shared" si="0"/>
        <v>3500</v>
      </c>
      <c r="K13" s="77">
        <v>0</v>
      </c>
      <c r="L13" s="77">
        <f t="shared" si="1"/>
        <v>3500</v>
      </c>
      <c r="M13" s="78">
        <f t="shared" si="2"/>
        <v>0</v>
      </c>
    </row>
    <row r="14" spans="1:15" s="65" customFormat="1" ht="17.100000000000001" customHeight="1" x14ac:dyDescent="0.2">
      <c r="A14" s="79">
        <v>15.1</v>
      </c>
      <c r="B14" s="72" t="s">
        <v>247</v>
      </c>
      <c r="C14" s="77">
        <v>3000</v>
      </c>
      <c r="D14" s="77"/>
      <c r="E14" s="77"/>
      <c r="F14" s="77"/>
      <c r="G14" s="77"/>
      <c r="H14" s="77"/>
      <c r="I14" s="77"/>
      <c r="J14" s="77">
        <f t="shared" si="0"/>
        <v>3000</v>
      </c>
      <c r="K14" s="77">
        <f>124.33+112.98+208.84+38.13+43.09</f>
        <v>527.37</v>
      </c>
      <c r="L14" s="77">
        <f t="shared" si="1"/>
        <v>2472.63</v>
      </c>
      <c r="M14" s="78">
        <f t="shared" si="2"/>
        <v>2.982645546706084E-4</v>
      </c>
    </row>
    <row r="15" spans="1:15" s="65" customFormat="1" ht="17.100000000000001" customHeight="1" x14ac:dyDescent="0.2">
      <c r="A15" s="72" t="s">
        <v>24</v>
      </c>
      <c r="B15" s="72" t="s">
        <v>25</v>
      </c>
      <c r="C15" s="77">
        <v>2745062.93</v>
      </c>
      <c r="D15" s="77">
        <v>95966.17</v>
      </c>
      <c r="E15" s="77"/>
      <c r="F15" s="77"/>
      <c r="G15" s="77"/>
      <c r="H15" s="77"/>
      <c r="I15" s="77"/>
      <c r="J15" s="77">
        <f t="shared" si="0"/>
        <v>2841029.1</v>
      </c>
      <c r="K15" s="77">
        <f>217424.77+238817.38+250602.62+215600.82+233212.59</f>
        <v>1155658.1800000002</v>
      </c>
      <c r="L15" s="77">
        <f>J15-K15</f>
        <v>1685370.92</v>
      </c>
      <c r="M15" s="78">
        <f t="shared" si="2"/>
        <v>0.65360538598924067</v>
      </c>
    </row>
    <row r="16" spans="1:15" s="65" customFormat="1" ht="17.100000000000001" customHeight="1" x14ac:dyDescent="0.2">
      <c r="A16" s="72" t="s">
        <v>26</v>
      </c>
      <c r="B16" s="72" t="s">
        <v>27</v>
      </c>
      <c r="C16" s="77">
        <v>4934974.71</v>
      </c>
      <c r="D16" s="77"/>
      <c r="E16" s="77"/>
      <c r="F16" s="77"/>
      <c r="G16" s="77"/>
      <c r="H16" s="77"/>
      <c r="I16" s="77"/>
      <c r="J16" s="77">
        <f t="shared" si="0"/>
        <v>4934974.71</v>
      </c>
      <c r="K16" s="77">
        <v>0</v>
      </c>
      <c r="L16" s="77">
        <f t="shared" ref="L16:L19" si="3">J16-K16</f>
        <v>4934974.71</v>
      </c>
      <c r="M16" s="78">
        <f t="shared" si="2"/>
        <v>0</v>
      </c>
    </row>
    <row r="17" spans="1:13" s="65" customFormat="1" ht="17.100000000000001" customHeight="1" x14ac:dyDescent="0.2">
      <c r="A17" s="72" t="s">
        <v>28</v>
      </c>
      <c r="B17" s="72" t="s">
        <v>29</v>
      </c>
      <c r="C17" s="77">
        <v>1290000</v>
      </c>
      <c r="D17" s="77"/>
      <c r="E17" s="77">
        <v>8059.23</v>
      </c>
      <c r="F17" s="77">
        <v>242187</v>
      </c>
      <c r="G17" s="77"/>
      <c r="H17" s="77"/>
      <c r="I17" s="77"/>
      <c r="J17" s="77">
        <f t="shared" si="0"/>
        <v>1524127.77</v>
      </c>
      <c r="K17" s="77">
        <f>345758+5505+226820.75</f>
        <v>578083.75</v>
      </c>
      <c r="L17" s="77">
        <f t="shared" si="3"/>
        <v>946044.02</v>
      </c>
      <c r="M17" s="78">
        <f t="shared" si="2"/>
        <v>0.3269467210043524</v>
      </c>
    </row>
    <row r="18" spans="1:13" s="65" customFormat="1" ht="17.100000000000001" customHeight="1" x14ac:dyDescent="0.2">
      <c r="A18" s="72" t="s">
        <v>30</v>
      </c>
      <c r="B18" s="72" t="s">
        <v>31</v>
      </c>
      <c r="C18" s="77">
        <v>20000</v>
      </c>
      <c r="D18" s="77"/>
      <c r="E18" s="77"/>
      <c r="F18" s="77"/>
      <c r="G18" s="77"/>
      <c r="H18" s="77"/>
      <c r="I18" s="77"/>
      <c r="J18" s="77">
        <f t="shared" si="0"/>
        <v>20000</v>
      </c>
      <c r="K18" s="77">
        <v>0</v>
      </c>
      <c r="L18" s="77">
        <f t="shared" si="3"/>
        <v>20000</v>
      </c>
      <c r="M18" s="78">
        <f t="shared" si="2"/>
        <v>0</v>
      </c>
    </row>
    <row r="19" spans="1:13" s="65" customFormat="1" ht="17.100000000000001" customHeight="1" thickBot="1" x14ac:dyDescent="0.25">
      <c r="A19" s="72"/>
      <c r="B19" s="72" t="s">
        <v>32</v>
      </c>
      <c r="C19" s="77">
        <f>850000+14137.2+261097.2</f>
        <v>1125234.3999999999</v>
      </c>
      <c r="D19" s="77"/>
      <c r="E19" s="77"/>
      <c r="F19" s="77"/>
      <c r="G19" s="77"/>
      <c r="H19" s="77"/>
      <c r="I19" s="77"/>
      <c r="J19" s="77">
        <f t="shared" si="0"/>
        <v>1125234.3999999999</v>
      </c>
      <c r="K19" s="77">
        <v>0</v>
      </c>
      <c r="L19" s="77">
        <f t="shared" si="3"/>
        <v>1125234.3999999999</v>
      </c>
      <c r="M19" s="78">
        <f t="shared" si="2"/>
        <v>0</v>
      </c>
    </row>
    <row r="20" spans="1:13" s="65" customFormat="1" ht="17.100000000000001" customHeight="1" thickBot="1" x14ac:dyDescent="0.3">
      <c r="A20" s="80"/>
      <c r="B20" s="80" t="s">
        <v>33</v>
      </c>
      <c r="C20" s="81">
        <f>SUM(C10:C19)</f>
        <v>10804273.189999999</v>
      </c>
      <c r="D20" s="81">
        <f t="shared" ref="D20" si="4">SUM(D10:D19)</f>
        <v>108966.17</v>
      </c>
      <c r="E20" s="81">
        <f>SUM(E10:E19)</f>
        <v>12256.08</v>
      </c>
      <c r="F20" s="81">
        <f t="shared" ref="F20:I20" si="5">SUM(F10:F19)</f>
        <v>254687</v>
      </c>
      <c r="G20" s="81">
        <f t="shared" si="5"/>
        <v>0</v>
      </c>
      <c r="H20" s="81">
        <f t="shared" si="5"/>
        <v>0</v>
      </c>
      <c r="I20" s="81">
        <f t="shared" si="5"/>
        <v>0</v>
      </c>
      <c r="J20" s="81">
        <f>SUM(J10:J19)</f>
        <v>11155670.279999999</v>
      </c>
      <c r="K20" s="81">
        <f>SUM(K10:K19)</f>
        <v>1768128.3000000003</v>
      </c>
      <c r="L20" s="81">
        <f>SUM(L10:L19)</f>
        <v>9387541.9800000004</v>
      </c>
      <c r="M20" s="82">
        <v>0</v>
      </c>
    </row>
    <row r="21" spans="1:13" s="113" customFormat="1" ht="8.1" customHeight="1" x14ac:dyDescent="0.2">
      <c r="A21" s="126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8"/>
    </row>
    <row r="22" spans="1:13" s="113" customFormat="1" ht="17.100000000000001" customHeight="1" x14ac:dyDescent="0.25">
      <c r="A22" s="129" t="s">
        <v>4</v>
      </c>
      <c r="B22" s="74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3" s="65" customFormat="1" ht="17.100000000000001" customHeight="1" x14ac:dyDescent="0.25">
      <c r="A23" s="76"/>
      <c r="B23" s="8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s="65" customFormat="1" ht="17.100000000000001" customHeight="1" x14ac:dyDescent="0.25">
      <c r="A24" s="86">
        <v>0</v>
      </c>
      <c r="B24" s="87" t="s">
        <v>35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s="65" customFormat="1" ht="17.100000000000001" customHeight="1" x14ac:dyDescent="0.2">
      <c r="A25" s="88" t="s">
        <v>36</v>
      </c>
      <c r="B25" s="72" t="s">
        <v>106</v>
      </c>
      <c r="C25" s="77">
        <v>773194.52</v>
      </c>
      <c r="D25" s="77"/>
      <c r="E25" s="77"/>
      <c r="F25" s="77"/>
      <c r="G25" s="77"/>
      <c r="H25" s="77"/>
      <c r="I25" s="77"/>
      <c r="J25" s="77">
        <f t="shared" ref="J25:J36" si="6">C25+D25-E25+F25-G25+H25-I25</f>
        <v>773194.52</v>
      </c>
      <c r="K25" s="77">
        <v>297381.05</v>
      </c>
      <c r="L25" s="77">
        <f t="shared" ref="L25:L88" si="7">J25-K25</f>
        <v>475813.47000000003</v>
      </c>
      <c r="M25" s="78">
        <f t="shared" ref="M25:M36" si="8">K25/$K$123</f>
        <v>0.21504127334528791</v>
      </c>
    </row>
    <row r="26" spans="1:13" s="65" customFormat="1" ht="17.100000000000001" customHeight="1" x14ac:dyDescent="0.2">
      <c r="A26" s="88" t="s">
        <v>37</v>
      </c>
      <c r="B26" s="72" t="s">
        <v>107</v>
      </c>
      <c r="C26" s="77">
        <v>4500</v>
      </c>
      <c r="D26" s="77"/>
      <c r="E26" s="77"/>
      <c r="F26" s="77"/>
      <c r="G26" s="77"/>
      <c r="H26" s="77"/>
      <c r="I26" s="77"/>
      <c r="J26" s="77">
        <f t="shared" si="6"/>
        <v>4500</v>
      </c>
      <c r="K26" s="77">
        <v>1875</v>
      </c>
      <c r="L26" s="77">
        <f t="shared" si="7"/>
        <v>2625</v>
      </c>
      <c r="M26" s="78">
        <f t="shared" si="8"/>
        <v>1.3558442527606075E-3</v>
      </c>
    </row>
    <row r="27" spans="1:13" s="65" customFormat="1" ht="17.100000000000001" customHeight="1" x14ac:dyDescent="0.2">
      <c r="A27" s="88" t="s">
        <v>38</v>
      </c>
      <c r="B27" s="72" t="s">
        <v>108</v>
      </c>
      <c r="C27" s="77">
        <v>140850</v>
      </c>
      <c r="D27" s="77"/>
      <c r="E27" s="77"/>
      <c r="F27" s="77"/>
      <c r="G27" s="77"/>
      <c r="H27" s="77"/>
      <c r="I27" s="77"/>
      <c r="J27" s="77">
        <f t="shared" si="6"/>
        <v>140850</v>
      </c>
      <c r="K27" s="77">
        <v>42500</v>
      </c>
      <c r="L27" s="77">
        <f t="shared" si="7"/>
        <v>98350</v>
      </c>
      <c r="M27" s="78">
        <f t="shared" si="8"/>
        <v>3.0732469729240434E-2</v>
      </c>
    </row>
    <row r="28" spans="1:13" s="65" customFormat="1" ht="17.100000000000001" customHeight="1" x14ac:dyDescent="0.2">
      <c r="A28" s="131" t="s">
        <v>281</v>
      </c>
      <c r="B28" s="72" t="s">
        <v>282</v>
      </c>
      <c r="C28" s="77">
        <v>0</v>
      </c>
      <c r="D28" s="77"/>
      <c r="E28" s="77"/>
      <c r="F28" s="77">
        <v>79750</v>
      </c>
      <c r="G28" s="77"/>
      <c r="H28" s="77"/>
      <c r="I28" s="77"/>
      <c r="J28" s="77">
        <f t="shared" si="6"/>
        <v>79750</v>
      </c>
      <c r="K28" s="77"/>
      <c r="L28" s="77">
        <f t="shared" si="7"/>
        <v>79750</v>
      </c>
      <c r="M28" s="78">
        <f t="shared" si="8"/>
        <v>0</v>
      </c>
    </row>
    <row r="29" spans="1:13" s="65" customFormat="1" ht="17.100000000000001" customHeight="1" x14ac:dyDescent="0.2">
      <c r="A29" s="88" t="s">
        <v>40</v>
      </c>
      <c r="B29" s="72" t="s">
        <v>283</v>
      </c>
      <c r="C29" s="77">
        <v>0</v>
      </c>
      <c r="D29" s="77"/>
      <c r="E29" s="77"/>
      <c r="F29" s="77">
        <v>3250</v>
      </c>
      <c r="G29" s="77"/>
      <c r="H29" s="77"/>
      <c r="I29" s="77"/>
      <c r="J29" s="77">
        <f t="shared" si="6"/>
        <v>3250</v>
      </c>
      <c r="K29" s="77">
        <v>0</v>
      </c>
      <c r="L29" s="77">
        <f t="shared" si="7"/>
        <v>3250</v>
      </c>
      <c r="M29" s="78">
        <f t="shared" si="8"/>
        <v>0</v>
      </c>
    </row>
    <row r="30" spans="1:13" s="65" customFormat="1" ht="17.100000000000001" customHeight="1" x14ac:dyDescent="0.2">
      <c r="A30" s="88" t="s">
        <v>41</v>
      </c>
      <c r="B30" s="72" t="s">
        <v>110</v>
      </c>
      <c r="C30" s="77">
        <v>15400</v>
      </c>
      <c r="D30" s="77"/>
      <c r="E30" s="77"/>
      <c r="F30" s="77"/>
      <c r="G30" s="77"/>
      <c r="H30" s="77"/>
      <c r="I30" s="77"/>
      <c r="J30" s="77">
        <f t="shared" si="6"/>
        <v>15400</v>
      </c>
      <c r="K30" s="77">
        <v>0</v>
      </c>
      <c r="L30" s="77">
        <f t="shared" si="7"/>
        <v>15400</v>
      </c>
      <c r="M30" s="78">
        <f t="shared" si="8"/>
        <v>0</v>
      </c>
    </row>
    <row r="31" spans="1:13" s="65" customFormat="1" ht="17.100000000000001" customHeight="1" x14ac:dyDescent="0.2">
      <c r="A31" s="88" t="s">
        <v>42</v>
      </c>
      <c r="B31" s="72" t="s">
        <v>111</v>
      </c>
      <c r="C31" s="77">
        <v>42629.35</v>
      </c>
      <c r="D31" s="77"/>
      <c r="E31" s="77"/>
      <c r="F31" s="77"/>
      <c r="G31" s="77"/>
      <c r="H31" s="77"/>
      <c r="I31" s="77"/>
      <c r="J31" s="77">
        <f t="shared" si="6"/>
        <v>42629.35</v>
      </c>
      <c r="K31" s="77">
        <v>12482.45</v>
      </c>
      <c r="L31" s="77">
        <f t="shared" si="7"/>
        <v>30146.899999999998</v>
      </c>
      <c r="M31" s="78">
        <f t="shared" si="8"/>
        <v>9.0262709828648775E-3</v>
      </c>
    </row>
    <row r="32" spans="1:13" s="65" customFormat="1" ht="17.100000000000001" customHeight="1" x14ac:dyDescent="0.2">
      <c r="A32" s="88" t="s">
        <v>43</v>
      </c>
      <c r="B32" s="72" t="s">
        <v>234</v>
      </c>
      <c r="C32" s="77">
        <v>89741</v>
      </c>
      <c r="D32" s="77"/>
      <c r="E32" s="77"/>
      <c r="F32" s="77"/>
      <c r="G32" s="77"/>
      <c r="H32" s="77"/>
      <c r="I32" s="77"/>
      <c r="J32" s="77">
        <f t="shared" si="6"/>
        <v>89741</v>
      </c>
      <c r="K32" s="77">
        <v>26426.98</v>
      </c>
      <c r="L32" s="77">
        <f t="shared" si="7"/>
        <v>63314.020000000004</v>
      </c>
      <c r="M32" s="78">
        <f t="shared" si="8"/>
        <v>1.9109796773770407E-2</v>
      </c>
    </row>
    <row r="33" spans="1:15" ht="17.100000000000001" customHeight="1" x14ac:dyDescent="0.2">
      <c r="A33" s="88" t="s">
        <v>44</v>
      </c>
      <c r="B33" s="72" t="s">
        <v>235</v>
      </c>
      <c r="C33" s="77">
        <v>7478.416666666667</v>
      </c>
      <c r="D33" s="77"/>
      <c r="E33" s="77"/>
      <c r="F33" s="77"/>
      <c r="G33" s="77"/>
      <c r="H33" s="77"/>
      <c r="I33" s="77"/>
      <c r="J33" s="77">
        <f t="shared" si="6"/>
        <v>7478.416666666667</v>
      </c>
      <c r="K33" s="77">
        <v>2476.75</v>
      </c>
      <c r="L33" s="77">
        <f t="shared" si="7"/>
        <v>5001.666666666667</v>
      </c>
      <c r="M33" s="78">
        <f t="shared" si="8"/>
        <v>1.7909798682799118E-3</v>
      </c>
      <c r="N33" s="65"/>
      <c r="O33" s="65"/>
    </row>
    <row r="34" spans="1:15" ht="17.100000000000001" customHeight="1" x14ac:dyDescent="0.2">
      <c r="A34" s="88" t="s">
        <v>45</v>
      </c>
      <c r="B34" s="72" t="s">
        <v>46</v>
      </c>
      <c r="C34" s="77">
        <v>64432.876666666663</v>
      </c>
      <c r="D34" s="77"/>
      <c r="E34" s="77"/>
      <c r="F34" s="77"/>
      <c r="G34" s="77"/>
      <c r="H34" s="77"/>
      <c r="I34" s="77"/>
      <c r="J34" s="77">
        <f t="shared" si="6"/>
        <v>64432.876666666663</v>
      </c>
      <c r="K34" s="77">
        <v>0</v>
      </c>
      <c r="L34" s="77">
        <f t="shared" si="7"/>
        <v>64432.876666666663</v>
      </c>
      <c r="M34" s="78">
        <f t="shared" si="8"/>
        <v>0</v>
      </c>
      <c r="N34" s="65"/>
      <c r="O34" s="65"/>
    </row>
    <row r="35" spans="1:15" ht="17.100000000000001" customHeight="1" x14ac:dyDescent="0.2">
      <c r="A35" s="88" t="s">
        <v>47</v>
      </c>
      <c r="B35" s="72" t="s">
        <v>114</v>
      </c>
      <c r="C35" s="77">
        <v>64432.876666666663</v>
      </c>
      <c r="D35" s="77"/>
      <c r="E35" s="77"/>
      <c r="F35" s="77"/>
      <c r="G35" s="77"/>
      <c r="H35" s="77"/>
      <c r="I35" s="77"/>
      <c r="J35" s="77">
        <f t="shared" si="6"/>
        <v>64432.876666666663</v>
      </c>
      <c r="K35" s="77">
        <v>0</v>
      </c>
      <c r="L35" s="77">
        <f t="shared" si="7"/>
        <v>64432.876666666663</v>
      </c>
      <c r="M35" s="78">
        <f t="shared" si="8"/>
        <v>0</v>
      </c>
      <c r="N35" s="65"/>
      <c r="O35" s="65"/>
    </row>
    <row r="36" spans="1:15" ht="17.100000000000001" customHeight="1" x14ac:dyDescent="0.2">
      <c r="A36" s="88" t="s">
        <v>48</v>
      </c>
      <c r="B36" s="72" t="s">
        <v>49</v>
      </c>
      <c r="C36" s="77">
        <v>4000</v>
      </c>
      <c r="D36" s="77"/>
      <c r="E36" s="77"/>
      <c r="F36" s="77"/>
      <c r="G36" s="77"/>
      <c r="H36" s="77"/>
      <c r="I36" s="77"/>
      <c r="J36" s="77">
        <f t="shared" si="6"/>
        <v>4000</v>
      </c>
      <c r="K36" s="77">
        <v>0</v>
      </c>
      <c r="L36" s="77">
        <f t="shared" si="7"/>
        <v>4000</v>
      </c>
      <c r="M36" s="78">
        <f t="shared" si="8"/>
        <v>0</v>
      </c>
      <c r="N36" s="65"/>
      <c r="O36" s="65"/>
    </row>
    <row r="37" spans="1:15" ht="17.100000000000001" customHeight="1" x14ac:dyDescent="0.2">
      <c r="A37" s="88"/>
      <c r="B37" s="7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65"/>
      <c r="O37" s="65"/>
    </row>
    <row r="38" spans="1:15" ht="17.100000000000001" customHeight="1" x14ac:dyDescent="0.25">
      <c r="A38" s="86">
        <v>1</v>
      </c>
      <c r="B38" s="87" t="s">
        <v>50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65"/>
      <c r="O38" s="65"/>
    </row>
    <row r="39" spans="1:15" ht="17.100000000000001" customHeight="1" x14ac:dyDescent="0.2">
      <c r="A39" s="88" t="s">
        <v>115</v>
      </c>
      <c r="B39" s="72" t="s">
        <v>51</v>
      </c>
      <c r="C39" s="77">
        <v>11723.320000000002</v>
      </c>
      <c r="D39" s="77"/>
      <c r="E39" s="77"/>
      <c r="F39" s="77"/>
      <c r="G39" s="77"/>
      <c r="H39" s="77"/>
      <c r="I39" s="77"/>
      <c r="J39" s="77">
        <f t="shared" ref="J39:J104" si="9">C39+D39-E39+F39-G39+H39-I39</f>
        <v>11723.320000000002</v>
      </c>
      <c r="K39" s="77">
        <v>2760.89</v>
      </c>
      <c r="L39" s="77">
        <f t="shared" si="7"/>
        <v>8962.4300000000021</v>
      </c>
      <c r="M39" s="78">
        <f t="shared" ref="M39:M72" si="10">K39/$K$123</f>
        <v>1.996446314135591E-3</v>
      </c>
      <c r="N39" s="65"/>
      <c r="O39" s="65"/>
    </row>
    <row r="40" spans="1:15" ht="17.100000000000001" customHeight="1" x14ac:dyDescent="0.2">
      <c r="A40" s="88" t="s">
        <v>116</v>
      </c>
      <c r="B40" s="72" t="s">
        <v>52</v>
      </c>
      <c r="C40" s="77">
        <v>24780</v>
      </c>
      <c r="D40" s="77"/>
      <c r="E40" s="77"/>
      <c r="F40" s="77"/>
      <c r="G40" s="77"/>
      <c r="H40" s="77"/>
      <c r="I40" s="77"/>
      <c r="J40" s="77">
        <f t="shared" si="9"/>
        <v>24780</v>
      </c>
      <c r="K40" s="77">
        <v>9739</v>
      </c>
      <c r="L40" s="77">
        <f t="shared" si="7"/>
        <v>15041</v>
      </c>
      <c r="M40" s="78">
        <f t="shared" si="10"/>
        <v>7.0424358280722962E-3</v>
      </c>
      <c r="N40" s="65"/>
      <c r="O40" s="65"/>
    </row>
    <row r="41" spans="1:15" ht="17.100000000000001" customHeight="1" x14ac:dyDescent="0.2">
      <c r="A41" s="88" t="s">
        <v>117</v>
      </c>
      <c r="B41" s="72" t="s">
        <v>53</v>
      </c>
      <c r="C41" s="77">
        <v>2500</v>
      </c>
      <c r="D41" s="77"/>
      <c r="E41" s="77"/>
      <c r="F41" s="77"/>
      <c r="G41" s="77"/>
      <c r="H41" s="77"/>
      <c r="I41" s="77"/>
      <c r="J41" s="77">
        <f t="shared" si="9"/>
        <v>2500</v>
      </c>
      <c r="K41" s="77">
        <v>20</v>
      </c>
      <c r="L41" s="77">
        <f t="shared" si="7"/>
        <v>2480</v>
      </c>
      <c r="M41" s="78">
        <f t="shared" si="10"/>
        <v>1.4462338696113146E-5</v>
      </c>
      <c r="N41" s="65"/>
      <c r="O41" s="65"/>
    </row>
    <row r="42" spans="1:15" ht="17.100000000000001" customHeight="1" x14ac:dyDescent="0.2">
      <c r="A42" s="88" t="s">
        <v>118</v>
      </c>
      <c r="B42" s="72" t="s">
        <v>54</v>
      </c>
      <c r="C42" s="77">
        <v>4464</v>
      </c>
      <c r="D42" s="77">
        <v>1200</v>
      </c>
      <c r="E42" s="77"/>
      <c r="F42" s="77">
        <v>4500</v>
      </c>
      <c r="G42" s="77"/>
      <c r="H42" s="77"/>
      <c r="I42" s="77"/>
      <c r="J42" s="77">
        <f t="shared" si="9"/>
        <v>10164</v>
      </c>
      <c r="K42" s="77">
        <v>5339.04</v>
      </c>
      <c r="L42" s="77">
        <f t="shared" si="7"/>
        <v>4824.96</v>
      </c>
      <c r="M42" s="78">
        <f t="shared" si="10"/>
        <v>3.8607502396047965E-3</v>
      </c>
      <c r="N42" s="65"/>
      <c r="O42" s="65"/>
    </row>
    <row r="43" spans="1:15" ht="17.100000000000001" customHeight="1" x14ac:dyDescent="0.2">
      <c r="A43" s="88" t="s">
        <v>119</v>
      </c>
      <c r="B43" s="72" t="s">
        <v>120</v>
      </c>
      <c r="C43" s="77">
        <v>12200</v>
      </c>
      <c r="D43" s="77"/>
      <c r="E43" s="77"/>
      <c r="F43" s="77">
        <v>3500</v>
      </c>
      <c r="G43" s="77"/>
      <c r="H43" s="77"/>
      <c r="I43" s="77"/>
      <c r="J43" s="77">
        <f t="shared" si="9"/>
        <v>15700</v>
      </c>
      <c r="K43" s="77">
        <v>7761</v>
      </c>
      <c r="L43" s="77">
        <f t="shared" si="7"/>
        <v>7939</v>
      </c>
      <c r="M43" s="78">
        <f t="shared" si="10"/>
        <v>5.6121105310267061E-3</v>
      </c>
      <c r="N43" s="65"/>
      <c r="O43" s="65"/>
    </row>
    <row r="44" spans="1:15" ht="17.100000000000001" customHeight="1" x14ac:dyDescent="0.2">
      <c r="A44" s="88" t="s">
        <v>121</v>
      </c>
      <c r="B44" s="72" t="s">
        <v>122</v>
      </c>
      <c r="C44" s="77">
        <v>1218400</v>
      </c>
      <c r="D44" s="77">
        <v>64062.78</v>
      </c>
      <c r="E44" s="77"/>
      <c r="F44" s="77"/>
      <c r="G44" s="77"/>
      <c r="H44" s="77"/>
      <c r="I44" s="77"/>
      <c r="J44" s="77">
        <f t="shared" si="9"/>
        <v>1282462.78</v>
      </c>
      <c r="K44" s="77">
        <v>556438.5</v>
      </c>
      <c r="L44" s="77">
        <f t="shared" si="7"/>
        <v>726024.28</v>
      </c>
      <c r="M44" s="78">
        <f t="shared" si="10"/>
        <v>0.40237010252785771</v>
      </c>
      <c r="N44" s="65"/>
      <c r="O44" s="65"/>
    </row>
    <row r="45" spans="1:15" ht="17.100000000000001" customHeight="1" x14ac:dyDescent="0.2">
      <c r="A45" s="88" t="s">
        <v>123</v>
      </c>
      <c r="B45" s="72" t="s">
        <v>124</v>
      </c>
      <c r="C45" s="77">
        <v>0</v>
      </c>
      <c r="D45" s="77"/>
      <c r="E45" s="77"/>
      <c r="F45" s="77"/>
      <c r="G45" s="77"/>
      <c r="H45" s="77"/>
      <c r="I45" s="77"/>
      <c r="J45" s="77">
        <f t="shared" si="9"/>
        <v>0</v>
      </c>
      <c r="K45" s="77">
        <v>0</v>
      </c>
      <c r="L45" s="77">
        <f t="shared" si="7"/>
        <v>0</v>
      </c>
      <c r="M45" s="78">
        <f t="shared" si="10"/>
        <v>0</v>
      </c>
      <c r="N45" s="65"/>
      <c r="O45" s="65"/>
    </row>
    <row r="46" spans="1:15" ht="17.100000000000001" customHeight="1" x14ac:dyDescent="0.2">
      <c r="A46" s="88" t="s">
        <v>125</v>
      </c>
      <c r="B46" s="72" t="s">
        <v>126</v>
      </c>
      <c r="C46" s="77">
        <v>0</v>
      </c>
      <c r="D46" s="77"/>
      <c r="E46" s="77"/>
      <c r="F46" s="77"/>
      <c r="G46" s="77"/>
      <c r="H46" s="77"/>
      <c r="I46" s="77"/>
      <c r="J46" s="77">
        <f t="shared" si="9"/>
        <v>0</v>
      </c>
      <c r="K46" s="77">
        <v>0</v>
      </c>
      <c r="L46" s="77">
        <f t="shared" si="7"/>
        <v>0</v>
      </c>
      <c r="M46" s="78">
        <f t="shared" si="10"/>
        <v>0</v>
      </c>
      <c r="N46" s="65"/>
      <c r="O46" s="65"/>
    </row>
    <row r="47" spans="1:15" ht="17.100000000000001" customHeight="1" x14ac:dyDescent="0.2">
      <c r="A47" s="88" t="s">
        <v>127</v>
      </c>
      <c r="B47" s="72" t="s">
        <v>55</v>
      </c>
      <c r="C47" s="77">
        <v>104664</v>
      </c>
      <c r="D47" s="77">
        <v>13644</v>
      </c>
      <c r="E47" s="77"/>
      <c r="F47" s="77"/>
      <c r="G47" s="77"/>
      <c r="H47" s="77"/>
      <c r="I47" s="77"/>
      <c r="J47" s="77">
        <f t="shared" si="9"/>
        <v>118308</v>
      </c>
      <c r="K47" s="77">
        <v>13982.630000000001</v>
      </c>
      <c r="L47" s="77">
        <f t="shared" si="7"/>
        <v>104325.37</v>
      </c>
      <c r="M47" s="78">
        <f t="shared" si="10"/>
        <v>1.0111076546121629E-2</v>
      </c>
      <c r="N47" s="65"/>
      <c r="O47" s="65"/>
    </row>
    <row r="48" spans="1:15" ht="17.100000000000001" customHeight="1" x14ac:dyDescent="0.2">
      <c r="A48" s="88" t="s">
        <v>128</v>
      </c>
      <c r="B48" s="72" t="s">
        <v>237</v>
      </c>
      <c r="C48" s="77">
        <v>459374.84</v>
      </c>
      <c r="D48" s="77">
        <v>11548.31</v>
      </c>
      <c r="E48" s="77"/>
      <c r="F48" s="77"/>
      <c r="G48" s="77"/>
      <c r="H48" s="77"/>
      <c r="I48" s="77"/>
      <c r="J48" s="77">
        <f t="shared" si="9"/>
        <v>470923.15</v>
      </c>
      <c r="K48" s="77">
        <v>60016.95</v>
      </c>
      <c r="L48" s="77">
        <f t="shared" si="7"/>
        <v>410906.2</v>
      </c>
      <c r="M48" s="78">
        <f t="shared" si="10"/>
        <v>4.3399272920384389E-2</v>
      </c>
      <c r="N48" s="65"/>
      <c r="O48" s="65"/>
    </row>
    <row r="49" spans="1:15" ht="17.100000000000001" customHeight="1" x14ac:dyDescent="0.2">
      <c r="A49" s="88" t="s">
        <v>130</v>
      </c>
      <c r="B49" s="72" t="s">
        <v>56</v>
      </c>
      <c r="C49" s="77">
        <v>9000</v>
      </c>
      <c r="D49" s="77"/>
      <c r="E49" s="77"/>
      <c r="F49" s="77"/>
      <c r="G49" s="77"/>
      <c r="H49" s="77"/>
      <c r="I49" s="77"/>
      <c r="J49" s="77">
        <f t="shared" si="9"/>
        <v>9000</v>
      </c>
      <c r="K49" s="77">
        <v>0</v>
      </c>
      <c r="L49" s="77">
        <f t="shared" si="7"/>
        <v>9000</v>
      </c>
      <c r="M49" s="78">
        <f t="shared" si="10"/>
        <v>0</v>
      </c>
      <c r="N49" s="65"/>
      <c r="O49" s="65"/>
    </row>
    <row r="50" spans="1:15" ht="17.100000000000001" customHeight="1" x14ac:dyDescent="0.2">
      <c r="A50" s="88" t="s">
        <v>131</v>
      </c>
      <c r="B50" s="72" t="s">
        <v>57</v>
      </c>
      <c r="C50" s="77">
        <v>25000</v>
      </c>
      <c r="D50" s="77"/>
      <c r="E50" s="77"/>
      <c r="F50" s="77">
        <v>27000</v>
      </c>
      <c r="G50" s="77"/>
      <c r="H50" s="77"/>
      <c r="I50" s="77"/>
      <c r="J50" s="77">
        <f t="shared" si="9"/>
        <v>52000</v>
      </c>
      <c r="K50" s="77">
        <f>13114.09</f>
        <v>13114.09</v>
      </c>
      <c r="L50" s="77">
        <f t="shared" si="7"/>
        <v>38885.910000000003</v>
      </c>
      <c r="M50" s="78">
        <f t="shared" si="10"/>
        <v>9.4830205635655224E-3</v>
      </c>
      <c r="N50" s="65"/>
      <c r="O50" s="65"/>
    </row>
    <row r="51" spans="1:15" ht="17.100000000000001" customHeight="1" x14ac:dyDescent="0.2">
      <c r="A51" s="88" t="s">
        <v>132</v>
      </c>
      <c r="B51" s="72" t="s">
        <v>133</v>
      </c>
      <c r="C51" s="77">
        <v>70560</v>
      </c>
      <c r="D51" s="77"/>
      <c r="E51" s="77"/>
      <c r="F51" s="77"/>
      <c r="G51" s="77"/>
      <c r="H51" s="77"/>
      <c r="I51" s="77"/>
      <c r="J51" s="77">
        <f t="shared" si="9"/>
        <v>70560</v>
      </c>
      <c r="K51" s="77">
        <v>29400</v>
      </c>
      <c r="L51" s="77">
        <f t="shared" si="7"/>
        <v>41160</v>
      </c>
      <c r="M51" s="78">
        <f t="shared" si="10"/>
        <v>2.1259637883286324E-2</v>
      </c>
      <c r="N51" s="65"/>
      <c r="O51" s="65"/>
    </row>
    <row r="52" spans="1:15" ht="17.100000000000001" customHeight="1" x14ac:dyDescent="0.2">
      <c r="A52" s="88" t="s">
        <v>134</v>
      </c>
      <c r="B52" s="72" t="s">
        <v>58</v>
      </c>
      <c r="C52" s="77">
        <v>35200</v>
      </c>
      <c r="D52" s="77"/>
      <c r="E52" s="77"/>
      <c r="F52" s="77"/>
      <c r="G52" s="77"/>
      <c r="H52" s="77"/>
      <c r="I52" s="77"/>
      <c r="J52" s="77">
        <f t="shared" si="9"/>
        <v>35200</v>
      </c>
      <c r="K52" s="77"/>
      <c r="L52" s="77">
        <f t="shared" si="7"/>
        <v>35200</v>
      </c>
      <c r="M52" s="78">
        <f t="shared" si="10"/>
        <v>0</v>
      </c>
      <c r="N52" s="65"/>
      <c r="O52" s="65"/>
    </row>
    <row r="53" spans="1:15" ht="17.100000000000001" customHeight="1" x14ac:dyDescent="0.2">
      <c r="A53" s="88" t="s">
        <v>135</v>
      </c>
      <c r="B53" s="72" t="s">
        <v>59</v>
      </c>
      <c r="C53" s="77">
        <v>6550</v>
      </c>
      <c r="D53" s="77"/>
      <c r="E53" s="77"/>
      <c r="F53" s="77"/>
      <c r="G53" s="77"/>
      <c r="H53" s="77"/>
      <c r="I53" s="77"/>
      <c r="J53" s="77">
        <f t="shared" si="9"/>
        <v>6550</v>
      </c>
      <c r="K53" s="77">
        <v>3335</v>
      </c>
      <c r="L53" s="77">
        <f t="shared" si="7"/>
        <v>3215</v>
      </c>
      <c r="M53" s="78">
        <f t="shared" si="10"/>
        <v>2.4115949775768671E-3</v>
      </c>
      <c r="N53" s="65"/>
      <c r="O53" s="65"/>
    </row>
    <row r="54" spans="1:15" ht="17.100000000000001" customHeight="1" x14ac:dyDescent="0.2">
      <c r="A54" s="88" t="s">
        <v>136</v>
      </c>
      <c r="B54" s="72" t="s">
        <v>137</v>
      </c>
      <c r="C54" s="77">
        <v>2000</v>
      </c>
      <c r="D54" s="77"/>
      <c r="E54" s="77"/>
      <c r="F54" s="77"/>
      <c r="G54" s="77"/>
      <c r="H54" s="77"/>
      <c r="I54" s="77"/>
      <c r="J54" s="77">
        <f t="shared" si="9"/>
        <v>2000</v>
      </c>
      <c r="K54" s="77">
        <v>630</v>
      </c>
      <c r="L54" s="77">
        <f t="shared" si="7"/>
        <v>1370</v>
      </c>
      <c r="M54" s="78">
        <f t="shared" si="10"/>
        <v>4.5556366892756409E-4</v>
      </c>
      <c r="N54" s="65"/>
      <c r="O54" s="65"/>
    </row>
    <row r="55" spans="1:15" ht="17.100000000000001" customHeight="1" x14ac:dyDescent="0.2">
      <c r="A55" s="88" t="s">
        <v>138</v>
      </c>
      <c r="B55" s="72" t="s">
        <v>139</v>
      </c>
      <c r="C55" s="77">
        <v>10000</v>
      </c>
      <c r="D55" s="77"/>
      <c r="E55" s="77"/>
      <c r="F55" s="77"/>
      <c r="G55" s="77"/>
      <c r="H55" s="77"/>
      <c r="I55" s="77"/>
      <c r="J55" s="77">
        <f t="shared" si="9"/>
        <v>10000</v>
      </c>
      <c r="K55" s="77">
        <v>0</v>
      </c>
      <c r="L55" s="77">
        <f t="shared" si="7"/>
        <v>10000</v>
      </c>
      <c r="M55" s="78">
        <f t="shared" si="10"/>
        <v>0</v>
      </c>
      <c r="N55" s="65"/>
      <c r="O55" s="65"/>
    </row>
    <row r="56" spans="1:15" ht="17.100000000000001" customHeight="1" x14ac:dyDescent="0.2">
      <c r="A56" s="88" t="s">
        <v>140</v>
      </c>
      <c r="B56" s="72" t="s">
        <v>141</v>
      </c>
      <c r="C56" s="77">
        <v>6900</v>
      </c>
      <c r="D56" s="77"/>
      <c r="E56" s="77"/>
      <c r="F56" s="77">
        <v>850</v>
      </c>
      <c r="G56" s="77"/>
      <c r="H56" s="77"/>
      <c r="I56" s="77"/>
      <c r="J56" s="77">
        <f t="shared" si="9"/>
        <v>7750</v>
      </c>
      <c r="K56" s="77">
        <v>262.51</v>
      </c>
      <c r="L56" s="77">
        <f t="shared" si="7"/>
        <v>7487.49</v>
      </c>
      <c r="M56" s="78">
        <f t="shared" si="10"/>
        <v>1.898254265558331E-4</v>
      </c>
      <c r="N56" s="65"/>
      <c r="O56" s="65"/>
    </row>
    <row r="57" spans="1:15" ht="17.100000000000001" customHeight="1" x14ac:dyDescent="0.2">
      <c r="A57" s="88" t="s">
        <v>142</v>
      </c>
      <c r="B57" s="72" t="s">
        <v>143</v>
      </c>
      <c r="C57" s="77">
        <v>3000</v>
      </c>
      <c r="D57" s="77"/>
      <c r="E57" s="77"/>
      <c r="F57" s="77"/>
      <c r="G57" s="77"/>
      <c r="H57" s="77"/>
      <c r="I57" s="77"/>
      <c r="J57" s="77">
        <f t="shared" si="9"/>
        <v>3000</v>
      </c>
      <c r="K57" s="77">
        <v>2600</v>
      </c>
      <c r="L57" s="77">
        <f t="shared" si="7"/>
        <v>400</v>
      </c>
      <c r="M57" s="78">
        <f t="shared" si="10"/>
        <v>1.880104030494709E-3</v>
      </c>
      <c r="N57" s="65"/>
      <c r="O57" s="65"/>
    </row>
    <row r="58" spans="1:15" ht="17.100000000000001" customHeight="1" x14ac:dyDescent="0.2">
      <c r="A58" s="88" t="s">
        <v>144</v>
      </c>
      <c r="B58" s="72" t="s">
        <v>145</v>
      </c>
      <c r="C58" s="77">
        <v>5000</v>
      </c>
      <c r="D58" s="77">
        <v>250</v>
      </c>
      <c r="E58" s="77"/>
      <c r="F58" s="77">
        <v>12285</v>
      </c>
      <c r="G58" s="77"/>
      <c r="H58" s="77"/>
      <c r="I58" s="77"/>
      <c r="J58" s="77">
        <f t="shared" si="9"/>
        <v>17535</v>
      </c>
      <c r="K58" s="77">
        <v>0</v>
      </c>
      <c r="L58" s="77">
        <f t="shared" si="7"/>
        <v>17535</v>
      </c>
      <c r="M58" s="78">
        <f t="shared" si="10"/>
        <v>0</v>
      </c>
      <c r="N58" s="65"/>
      <c r="O58" s="65"/>
    </row>
    <row r="59" spans="1:15" ht="17.100000000000001" customHeight="1" x14ac:dyDescent="0.2">
      <c r="A59" s="88" t="s">
        <v>146</v>
      </c>
      <c r="B59" s="72" t="s">
        <v>147</v>
      </c>
      <c r="C59" s="77">
        <v>180000</v>
      </c>
      <c r="D59" s="77"/>
      <c r="E59" s="77"/>
      <c r="F59" s="77"/>
      <c r="G59" s="77"/>
      <c r="H59" s="77"/>
      <c r="I59" s="77"/>
      <c r="J59" s="77">
        <f t="shared" si="9"/>
        <v>180000</v>
      </c>
      <c r="K59" s="77">
        <v>84000</v>
      </c>
      <c r="L59" s="77">
        <f t="shared" si="7"/>
        <v>96000</v>
      </c>
      <c r="M59" s="78">
        <f t="shared" si="10"/>
        <v>6.0741822523675215E-2</v>
      </c>
      <c r="N59" s="65"/>
      <c r="O59" s="65"/>
    </row>
    <row r="60" spans="1:15" ht="17.100000000000001" customHeight="1" x14ac:dyDescent="0.2">
      <c r="A60" s="88" t="s">
        <v>148</v>
      </c>
      <c r="B60" s="72" t="s">
        <v>149</v>
      </c>
      <c r="C60" s="77">
        <v>0</v>
      </c>
      <c r="D60" s="77"/>
      <c r="E60" s="77"/>
      <c r="F60" s="77"/>
      <c r="G60" s="77"/>
      <c r="H60" s="77"/>
      <c r="I60" s="77"/>
      <c r="J60" s="77">
        <f t="shared" si="9"/>
        <v>0</v>
      </c>
      <c r="K60" s="77">
        <v>0</v>
      </c>
      <c r="L60" s="77">
        <f t="shared" si="7"/>
        <v>0</v>
      </c>
      <c r="M60" s="78">
        <f t="shared" si="10"/>
        <v>0</v>
      </c>
      <c r="N60" s="65"/>
      <c r="O60" s="65"/>
    </row>
    <row r="61" spans="1:15" ht="17.100000000000001" customHeight="1" x14ac:dyDescent="0.2">
      <c r="A61" s="88" t="s">
        <v>150</v>
      </c>
      <c r="B61" s="72" t="s">
        <v>151</v>
      </c>
      <c r="C61" s="77">
        <v>40600</v>
      </c>
      <c r="D61" s="77"/>
      <c r="E61" s="77">
        <v>16600</v>
      </c>
      <c r="F61" s="77"/>
      <c r="G61" s="77"/>
      <c r="H61" s="77"/>
      <c r="I61" s="77"/>
      <c r="J61" s="77">
        <f t="shared" si="9"/>
        <v>24000</v>
      </c>
      <c r="K61" s="77">
        <v>8975</v>
      </c>
      <c r="L61" s="77">
        <f t="shared" si="7"/>
        <v>15025</v>
      </c>
      <c r="M61" s="78">
        <f t="shared" si="10"/>
        <v>6.4899744898807739E-3</v>
      </c>
      <c r="N61" s="65"/>
      <c r="O61" s="65"/>
    </row>
    <row r="62" spans="1:15" ht="17.100000000000001" customHeight="1" x14ac:dyDescent="0.2">
      <c r="A62" s="88" t="s">
        <v>152</v>
      </c>
      <c r="B62" s="72" t="s">
        <v>153</v>
      </c>
      <c r="C62" s="77">
        <v>60000</v>
      </c>
      <c r="D62" s="77"/>
      <c r="E62" s="77">
        <v>6000</v>
      </c>
      <c r="F62" s="77"/>
      <c r="G62" s="77"/>
      <c r="H62" s="77"/>
      <c r="I62" s="77"/>
      <c r="J62" s="77">
        <f t="shared" si="9"/>
        <v>54000</v>
      </c>
      <c r="K62" s="77">
        <v>22500</v>
      </c>
      <c r="L62" s="77">
        <f t="shared" si="7"/>
        <v>31500</v>
      </c>
      <c r="M62" s="78">
        <f t="shared" si="10"/>
        <v>1.6270131033127289E-2</v>
      </c>
      <c r="N62" s="65"/>
      <c r="O62" s="65"/>
    </row>
    <row r="63" spans="1:15" ht="17.100000000000001" customHeight="1" x14ac:dyDescent="0.2">
      <c r="A63" s="88" t="s">
        <v>154</v>
      </c>
      <c r="B63" s="72" t="s">
        <v>60</v>
      </c>
      <c r="C63" s="77">
        <v>11300</v>
      </c>
      <c r="D63" s="77"/>
      <c r="E63" s="77"/>
      <c r="F63" s="77">
        <v>10000</v>
      </c>
      <c r="G63" s="77"/>
      <c r="H63" s="77"/>
      <c r="I63" s="77"/>
      <c r="J63" s="77">
        <f t="shared" si="9"/>
        <v>21300</v>
      </c>
      <c r="K63" s="77">
        <v>1536</v>
      </c>
      <c r="L63" s="77">
        <f t="shared" si="7"/>
        <v>19764</v>
      </c>
      <c r="M63" s="78">
        <f t="shared" si="10"/>
        <v>1.1107076118614897E-3</v>
      </c>
      <c r="N63" s="65"/>
      <c r="O63" s="65"/>
    </row>
    <row r="64" spans="1:15" ht="17.100000000000001" customHeight="1" x14ac:dyDescent="0.2">
      <c r="A64" s="88" t="s">
        <v>155</v>
      </c>
      <c r="B64" s="72" t="s">
        <v>268</v>
      </c>
      <c r="C64" s="77">
        <v>15500</v>
      </c>
      <c r="D64" s="77"/>
      <c r="E64" s="77"/>
      <c r="F64" s="77">
        <v>18000</v>
      </c>
      <c r="G64" s="77"/>
      <c r="H64" s="77"/>
      <c r="I64" s="77"/>
      <c r="J64" s="77">
        <f t="shared" si="9"/>
        <v>33500</v>
      </c>
      <c r="K64" s="77">
        <v>6620</v>
      </c>
      <c r="L64" s="77">
        <f t="shared" si="7"/>
        <v>26880</v>
      </c>
      <c r="M64" s="78">
        <f t="shared" si="10"/>
        <v>4.7870341084134509E-3</v>
      </c>
      <c r="N64" s="65"/>
      <c r="O64" s="65"/>
    </row>
    <row r="65" spans="1:15" ht="17.100000000000001" customHeight="1" x14ac:dyDescent="0.2">
      <c r="A65" s="88" t="s">
        <v>157</v>
      </c>
      <c r="B65" s="72" t="s">
        <v>61</v>
      </c>
      <c r="C65" s="77">
        <v>24394.959999999995</v>
      </c>
      <c r="D65" s="77"/>
      <c r="E65" s="77">
        <v>3200</v>
      </c>
      <c r="F65" s="77">
        <v>12000</v>
      </c>
      <c r="G65" s="77"/>
      <c r="H65" s="77"/>
      <c r="I65" s="77"/>
      <c r="J65" s="77">
        <f t="shared" si="9"/>
        <v>33194.959999999992</v>
      </c>
      <c r="K65" s="77">
        <v>3600</v>
      </c>
      <c r="L65" s="77">
        <f t="shared" si="7"/>
        <v>29594.959999999992</v>
      </c>
      <c r="M65" s="78">
        <f t="shared" si="10"/>
        <v>2.6032209653003664E-3</v>
      </c>
      <c r="N65" s="65"/>
      <c r="O65" s="65"/>
    </row>
    <row r="66" spans="1:15" ht="17.100000000000001" customHeight="1" x14ac:dyDescent="0.2">
      <c r="A66" s="88" t="s">
        <v>158</v>
      </c>
      <c r="B66" s="72" t="s">
        <v>62</v>
      </c>
      <c r="C66" s="77">
        <v>80000</v>
      </c>
      <c r="D66" s="77"/>
      <c r="E66" s="77"/>
      <c r="F66" s="77">
        <v>27500</v>
      </c>
      <c r="G66" s="77"/>
      <c r="H66" s="77"/>
      <c r="I66" s="77"/>
      <c r="J66" s="77">
        <f t="shared" si="9"/>
        <v>107500</v>
      </c>
      <c r="K66" s="77">
        <v>0</v>
      </c>
      <c r="L66" s="77">
        <f t="shared" si="7"/>
        <v>107500</v>
      </c>
      <c r="M66" s="78">
        <f t="shared" si="10"/>
        <v>0</v>
      </c>
      <c r="N66" s="65"/>
      <c r="O66" s="65"/>
    </row>
    <row r="67" spans="1:15" ht="17.100000000000001" customHeight="1" x14ac:dyDescent="0.2">
      <c r="A67" s="88" t="s">
        <v>159</v>
      </c>
      <c r="B67" s="72" t="s">
        <v>238</v>
      </c>
      <c r="C67" s="77">
        <v>244000</v>
      </c>
      <c r="D67" s="77"/>
      <c r="E67" s="77">
        <v>12800</v>
      </c>
      <c r="F67" s="77">
        <v>18000</v>
      </c>
      <c r="G67" s="77"/>
      <c r="H67" s="77"/>
      <c r="I67" s="77"/>
      <c r="J67" s="77">
        <f t="shared" si="9"/>
        <v>249200</v>
      </c>
      <c r="K67" s="77">
        <v>87869</v>
      </c>
      <c r="L67" s="77">
        <f t="shared" si="7"/>
        <v>161331</v>
      </c>
      <c r="M67" s="78">
        <f t="shared" si="10"/>
        <v>6.35395619444383E-2</v>
      </c>
      <c r="N67" s="65"/>
      <c r="O67" s="65"/>
    </row>
    <row r="68" spans="1:15" ht="17.100000000000001" customHeight="1" x14ac:dyDescent="0.2">
      <c r="A68" s="88" t="s">
        <v>160</v>
      </c>
      <c r="B68" s="72" t="s">
        <v>64</v>
      </c>
      <c r="C68" s="77">
        <v>11250</v>
      </c>
      <c r="D68" s="77"/>
      <c r="E68" s="77"/>
      <c r="F68" s="77"/>
      <c r="G68" s="77"/>
      <c r="H68" s="77"/>
      <c r="I68" s="77"/>
      <c r="J68" s="77">
        <f t="shared" si="9"/>
        <v>11250</v>
      </c>
      <c r="K68" s="77">
        <v>0</v>
      </c>
      <c r="L68" s="77">
        <f t="shared" si="7"/>
        <v>11250</v>
      </c>
      <c r="M68" s="78">
        <f t="shared" si="10"/>
        <v>0</v>
      </c>
      <c r="N68" s="65"/>
      <c r="O68" s="65"/>
    </row>
    <row r="69" spans="1:15" ht="17.100000000000001" customHeight="1" x14ac:dyDescent="0.2">
      <c r="A69" s="88" t="s">
        <v>161</v>
      </c>
      <c r="B69" s="72" t="s">
        <v>239</v>
      </c>
      <c r="C69" s="77">
        <v>5000</v>
      </c>
      <c r="D69" s="77"/>
      <c r="E69" s="77"/>
      <c r="F69" s="77"/>
      <c r="G69" s="77"/>
      <c r="H69" s="77"/>
      <c r="I69" s="77"/>
      <c r="J69" s="77">
        <f t="shared" si="9"/>
        <v>5000</v>
      </c>
      <c r="K69" s="77">
        <v>636.23</v>
      </c>
      <c r="L69" s="77">
        <f t="shared" si="7"/>
        <v>4363.7700000000004</v>
      </c>
      <c r="M69" s="78">
        <f t="shared" si="10"/>
        <v>4.6006868743140336E-4</v>
      </c>
      <c r="N69" s="65"/>
      <c r="O69" s="65"/>
    </row>
    <row r="70" spans="1:15" ht="17.100000000000001" customHeight="1" x14ac:dyDescent="0.2">
      <c r="A70" s="88" t="s">
        <v>163</v>
      </c>
      <c r="B70" s="72" t="s">
        <v>164</v>
      </c>
      <c r="C70" s="77">
        <v>5000</v>
      </c>
      <c r="D70" s="77"/>
      <c r="E70" s="77"/>
      <c r="F70" s="77">
        <v>11500</v>
      </c>
      <c r="G70" s="77"/>
      <c r="H70" s="77"/>
      <c r="I70" s="77"/>
      <c r="J70" s="77">
        <f t="shared" si="9"/>
        <v>16500</v>
      </c>
      <c r="K70" s="77">
        <v>746.66</v>
      </c>
      <c r="L70" s="77">
        <f t="shared" si="7"/>
        <v>15753.34</v>
      </c>
      <c r="M70" s="78">
        <f t="shared" si="10"/>
        <v>5.3992249054199209E-4</v>
      </c>
      <c r="N70" s="65"/>
      <c r="O70" s="65"/>
    </row>
    <row r="71" spans="1:15" ht="17.100000000000001" customHeight="1" x14ac:dyDescent="0.2">
      <c r="A71" s="88" t="s">
        <v>165</v>
      </c>
      <c r="B71" s="72" t="s">
        <v>65</v>
      </c>
      <c r="C71" s="77">
        <v>21150</v>
      </c>
      <c r="D71" s="77">
        <v>970</v>
      </c>
      <c r="E71" s="77"/>
      <c r="F71" s="77">
        <v>24500</v>
      </c>
      <c r="G71" s="77">
        <v>9500</v>
      </c>
      <c r="H71" s="77"/>
      <c r="I71" s="77"/>
      <c r="J71" s="77">
        <f t="shared" si="9"/>
        <v>37120</v>
      </c>
      <c r="K71" s="77">
        <v>0</v>
      </c>
      <c r="L71" s="77">
        <f t="shared" si="7"/>
        <v>37120</v>
      </c>
      <c r="M71" s="78">
        <f t="shared" si="10"/>
        <v>0</v>
      </c>
      <c r="N71" s="65"/>
      <c r="O71" s="65"/>
    </row>
    <row r="72" spans="1:15" ht="17.100000000000001" customHeight="1" x14ac:dyDescent="0.2">
      <c r="A72" s="88" t="s">
        <v>166</v>
      </c>
      <c r="B72" s="72" t="s">
        <v>167</v>
      </c>
      <c r="C72" s="77">
        <v>17000</v>
      </c>
      <c r="D72" s="77">
        <v>750</v>
      </c>
      <c r="E72" s="77"/>
      <c r="F72" s="77">
        <v>5000</v>
      </c>
      <c r="G72" s="77"/>
      <c r="H72" s="77"/>
      <c r="I72" s="77"/>
      <c r="J72" s="77">
        <f t="shared" si="9"/>
        <v>22750</v>
      </c>
      <c r="K72" s="77">
        <v>1867.74</v>
      </c>
      <c r="L72" s="77">
        <f t="shared" si="7"/>
        <v>20882.259999999998</v>
      </c>
      <c r="M72" s="78">
        <f t="shared" si="10"/>
        <v>1.3505944238139183E-3</v>
      </c>
      <c r="N72" s="65"/>
      <c r="O72" s="65"/>
    </row>
    <row r="73" spans="1:15" ht="17.100000000000001" customHeight="1" x14ac:dyDescent="0.2">
      <c r="A73" s="88"/>
      <c r="B73" s="72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65"/>
      <c r="O73" s="65"/>
    </row>
    <row r="74" spans="1:15" ht="17.100000000000001" customHeight="1" x14ac:dyDescent="0.25">
      <c r="A74" s="86">
        <v>2</v>
      </c>
      <c r="B74" s="87" t="s">
        <v>66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8"/>
      <c r="N74" s="65"/>
      <c r="O74" s="65"/>
    </row>
    <row r="75" spans="1:15" ht="17.100000000000001" customHeight="1" x14ac:dyDescent="0.2">
      <c r="A75" s="88" t="s">
        <v>168</v>
      </c>
      <c r="B75" s="72" t="s">
        <v>67</v>
      </c>
      <c r="C75" s="77">
        <v>116357.64</v>
      </c>
      <c r="D75" s="77">
        <v>40914</v>
      </c>
      <c r="E75" s="77"/>
      <c r="F75" s="77">
        <v>8500</v>
      </c>
      <c r="G75" s="77"/>
      <c r="H75" s="77"/>
      <c r="I75" s="77"/>
      <c r="J75" s="77">
        <f t="shared" si="9"/>
        <v>165771.64000000001</v>
      </c>
      <c r="K75" s="77">
        <v>22173.800000000003</v>
      </c>
      <c r="L75" s="77">
        <f t="shared" si="7"/>
        <v>143597.84000000003</v>
      </c>
      <c r="M75" s="78">
        <f t="shared" ref="M75:M104" si="11">K75/$K$123</f>
        <v>1.6034250288993687E-2</v>
      </c>
      <c r="N75" s="65"/>
      <c r="O75" s="65"/>
    </row>
    <row r="76" spans="1:15" ht="17.100000000000001" customHeight="1" x14ac:dyDescent="0.2">
      <c r="A76" s="88" t="s">
        <v>254</v>
      </c>
      <c r="B76" s="72" t="s">
        <v>255</v>
      </c>
      <c r="C76" s="77">
        <v>0</v>
      </c>
      <c r="D76" s="77">
        <v>750</v>
      </c>
      <c r="E76" s="77"/>
      <c r="F76" s="77"/>
      <c r="G76" s="77"/>
      <c r="H76" s="77"/>
      <c r="I76" s="77"/>
      <c r="J76" s="77">
        <f t="shared" si="9"/>
        <v>750</v>
      </c>
      <c r="K76" s="77">
        <v>0</v>
      </c>
      <c r="L76" s="77">
        <f t="shared" si="7"/>
        <v>750</v>
      </c>
      <c r="M76" s="78">
        <f t="shared" si="11"/>
        <v>0</v>
      </c>
      <c r="N76" s="65"/>
      <c r="O76" s="65"/>
    </row>
    <row r="77" spans="1:15" ht="17.100000000000001" customHeight="1" x14ac:dyDescent="0.2">
      <c r="A77" s="88" t="s">
        <v>170</v>
      </c>
      <c r="B77" s="72" t="s">
        <v>69</v>
      </c>
      <c r="C77" s="77">
        <v>2080</v>
      </c>
      <c r="D77" s="77">
        <v>4500</v>
      </c>
      <c r="E77" s="77"/>
      <c r="F77" s="77">
        <v>3000</v>
      </c>
      <c r="G77" s="77"/>
      <c r="H77" s="77"/>
      <c r="I77" s="77"/>
      <c r="J77" s="77">
        <f t="shared" si="9"/>
        <v>9580</v>
      </c>
      <c r="K77" s="77">
        <v>522</v>
      </c>
      <c r="L77" s="77">
        <f t="shared" si="7"/>
        <v>9058</v>
      </c>
      <c r="M77" s="78">
        <f t="shared" si="11"/>
        <v>3.7746703996855308E-4</v>
      </c>
      <c r="N77" s="65"/>
      <c r="O77" s="65"/>
    </row>
    <row r="78" spans="1:15" ht="17.100000000000001" customHeight="1" x14ac:dyDescent="0.2">
      <c r="A78" s="88" t="s">
        <v>171</v>
      </c>
      <c r="B78" s="72" t="s">
        <v>70</v>
      </c>
      <c r="C78" s="77">
        <v>62500</v>
      </c>
      <c r="D78" s="77">
        <v>6450</v>
      </c>
      <c r="E78" s="77"/>
      <c r="F78" s="77">
        <v>7500</v>
      </c>
      <c r="G78" s="77"/>
      <c r="H78" s="77"/>
      <c r="I78" s="77"/>
      <c r="J78" s="77">
        <f t="shared" si="9"/>
        <v>76450</v>
      </c>
      <c r="K78" s="77">
        <v>0</v>
      </c>
      <c r="L78" s="77">
        <f t="shared" si="7"/>
        <v>76450</v>
      </c>
      <c r="M78" s="78">
        <f t="shared" si="11"/>
        <v>0</v>
      </c>
      <c r="N78" s="65"/>
      <c r="O78" s="65"/>
    </row>
    <row r="79" spans="1:15" ht="17.100000000000001" customHeight="1" x14ac:dyDescent="0.2">
      <c r="A79" s="88" t="s">
        <v>172</v>
      </c>
      <c r="B79" s="72" t="s">
        <v>71</v>
      </c>
      <c r="C79" s="77">
        <v>6000</v>
      </c>
      <c r="D79" s="77">
        <v>750</v>
      </c>
      <c r="E79" s="77"/>
      <c r="F79" s="77"/>
      <c r="G79" s="77"/>
      <c r="H79" s="77"/>
      <c r="I79" s="77"/>
      <c r="J79" s="77">
        <f t="shared" si="9"/>
        <v>6750</v>
      </c>
      <c r="K79" s="77">
        <v>1086.25</v>
      </c>
      <c r="L79" s="77">
        <f t="shared" si="7"/>
        <v>5663.75</v>
      </c>
      <c r="M79" s="78">
        <f t="shared" si="11"/>
        <v>7.8548577043264524E-4</v>
      </c>
      <c r="N79" s="65"/>
      <c r="O79" s="65"/>
    </row>
    <row r="80" spans="1:15" ht="17.100000000000001" customHeight="1" x14ac:dyDescent="0.2">
      <c r="A80" s="88" t="s">
        <v>173</v>
      </c>
      <c r="B80" s="72" t="s">
        <v>72</v>
      </c>
      <c r="C80" s="77">
        <v>1100</v>
      </c>
      <c r="D80" s="77"/>
      <c r="E80" s="77"/>
      <c r="F80" s="77"/>
      <c r="G80" s="77"/>
      <c r="H80" s="77"/>
      <c r="I80" s="77"/>
      <c r="J80" s="77">
        <f t="shared" si="9"/>
        <v>1100</v>
      </c>
      <c r="K80" s="77">
        <v>395.5</v>
      </c>
      <c r="L80" s="77">
        <f t="shared" si="7"/>
        <v>704.5</v>
      </c>
      <c r="M80" s="78">
        <f t="shared" si="11"/>
        <v>2.8599274771563745E-4</v>
      </c>
      <c r="N80" s="65"/>
      <c r="O80" s="65"/>
    </row>
    <row r="81" spans="1:15" ht="17.100000000000001" customHeight="1" x14ac:dyDescent="0.2">
      <c r="A81" s="88" t="s">
        <v>174</v>
      </c>
      <c r="B81" s="72" t="s">
        <v>175</v>
      </c>
      <c r="C81" s="77">
        <v>2255</v>
      </c>
      <c r="D81" s="77"/>
      <c r="E81" s="77"/>
      <c r="F81" s="77"/>
      <c r="G81" s="77"/>
      <c r="H81" s="77"/>
      <c r="I81" s="77"/>
      <c r="J81" s="77">
        <f t="shared" si="9"/>
        <v>2255</v>
      </c>
      <c r="K81" s="77">
        <v>965.5</v>
      </c>
      <c r="L81" s="77">
        <f t="shared" si="7"/>
        <v>1289.5</v>
      </c>
      <c r="M81" s="78">
        <f t="shared" si="11"/>
        <v>6.9816940055486207E-4</v>
      </c>
      <c r="N81" s="65"/>
      <c r="O81" s="65"/>
    </row>
    <row r="82" spans="1:15" ht="17.100000000000001" customHeight="1" x14ac:dyDescent="0.2">
      <c r="A82" s="88" t="s">
        <v>176</v>
      </c>
      <c r="B82" s="72" t="s">
        <v>177</v>
      </c>
      <c r="C82" s="77">
        <v>1300</v>
      </c>
      <c r="D82" s="77"/>
      <c r="E82" s="77"/>
      <c r="F82" s="77"/>
      <c r="G82" s="77"/>
      <c r="H82" s="77"/>
      <c r="I82" s="77"/>
      <c r="J82" s="77">
        <f t="shared" si="9"/>
        <v>1300</v>
      </c>
      <c r="K82" s="77">
        <v>18</v>
      </c>
      <c r="L82" s="77">
        <f t="shared" si="7"/>
        <v>1282</v>
      </c>
      <c r="M82" s="78">
        <f t="shared" si="11"/>
        <v>1.3016104826501831E-5</v>
      </c>
      <c r="N82" s="65"/>
      <c r="O82" s="65"/>
    </row>
    <row r="83" spans="1:15" ht="17.100000000000001" customHeight="1" x14ac:dyDescent="0.2">
      <c r="A83" s="88" t="s">
        <v>178</v>
      </c>
      <c r="B83" s="72" t="s">
        <v>179</v>
      </c>
      <c r="C83" s="77">
        <v>7500</v>
      </c>
      <c r="D83" s="77"/>
      <c r="E83" s="77"/>
      <c r="F83" s="77"/>
      <c r="G83" s="77"/>
      <c r="H83" s="77"/>
      <c r="I83" s="77"/>
      <c r="J83" s="77">
        <f t="shared" si="9"/>
        <v>7500</v>
      </c>
      <c r="K83" s="77">
        <v>0</v>
      </c>
      <c r="L83" s="77">
        <f t="shared" si="7"/>
        <v>7500</v>
      </c>
      <c r="M83" s="78">
        <f t="shared" si="11"/>
        <v>0</v>
      </c>
      <c r="N83" s="65"/>
      <c r="O83" s="65"/>
    </row>
    <row r="84" spans="1:15" ht="17.100000000000001" customHeight="1" x14ac:dyDescent="0.2">
      <c r="A84" s="88" t="s">
        <v>180</v>
      </c>
      <c r="B84" s="72" t="s">
        <v>73</v>
      </c>
      <c r="C84" s="77">
        <v>200</v>
      </c>
      <c r="D84" s="77">
        <v>1050</v>
      </c>
      <c r="E84" s="77"/>
      <c r="F84" s="77"/>
      <c r="G84" s="77"/>
      <c r="H84" s="77"/>
      <c r="I84" s="77"/>
      <c r="J84" s="77">
        <f t="shared" si="9"/>
        <v>1250</v>
      </c>
      <c r="K84" s="77">
        <v>330</v>
      </c>
      <c r="L84" s="77">
        <f t="shared" si="7"/>
        <v>920</v>
      </c>
      <c r="M84" s="78">
        <f t="shared" si="11"/>
        <v>2.386285884858669E-4</v>
      </c>
      <c r="N84" s="65"/>
      <c r="O84" s="65"/>
    </row>
    <row r="85" spans="1:15" ht="17.100000000000001" customHeight="1" x14ac:dyDescent="0.2">
      <c r="A85" s="88" t="s">
        <v>181</v>
      </c>
      <c r="B85" s="72" t="s">
        <v>74</v>
      </c>
      <c r="C85" s="77">
        <v>10920</v>
      </c>
      <c r="D85" s="77"/>
      <c r="E85" s="77">
        <v>2700</v>
      </c>
      <c r="F85" s="77"/>
      <c r="G85" s="77"/>
      <c r="H85" s="77"/>
      <c r="I85" s="77"/>
      <c r="J85" s="77">
        <f t="shared" si="9"/>
        <v>8220</v>
      </c>
      <c r="K85" s="77">
        <v>2846.96</v>
      </c>
      <c r="L85" s="77">
        <f t="shared" si="7"/>
        <v>5373.04</v>
      </c>
      <c r="M85" s="78">
        <f t="shared" si="11"/>
        <v>2.0586849887143143E-3</v>
      </c>
      <c r="N85" s="65"/>
      <c r="O85" s="65"/>
    </row>
    <row r="86" spans="1:15" ht="17.100000000000001" customHeight="1" x14ac:dyDescent="0.2">
      <c r="A86" s="88" t="s">
        <v>182</v>
      </c>
      <c r="B86" s="72" t="s">
        <v>183</v>
      </c>
      <c r="C86" s="77">
        <v>1850</v>
      </c>
      <c r="D86" s="77"/>
      <c r="E86" s="77"/>
      <c r="F86" s="77"/>
      <c r="G86" s="77"/>
      <c r="H86" s="77"/>
      <c r="I86" s="77"/>
      <c r="J86" s="77">
        <f t="shared" si="9"/>
        <v>1850</v>
      </c>
      <c r="K86" s="77">
        <v>403.74</v>
      </c>
      <c r="L86" s="77">
        <f t="shared" si="7"/>
        <v>1446.26</v>
      </c>
      <c r="M86" s="78">
        <f t="shared" si="11"/>
        <v>2.919512312584361E-4</v>
      </c>
      <c r="N86" s="65"/>
      <c r="O86" s="65"/>
    </row>
    <row r="87" spans="1:15" ht="17.100000000000001" customHeight="1" x14ac:dyDescent="0.2">
      <c r="A87" s="88" t="s">
        <v>184</v>
      </c>
      <c r="B87" s="72" t="s">
        <v>75</v>
      </c>
      <c r="C87" s="77">
        <v>19000</v>
      </c>
      <c r="D87" s="77">
        <v>3250</v>
      </c>
      <c r="E87" s="77"/>
      <c r="F87" s="77">
        <v>8640</v>
      </c>
      <c r="G87" s="77"/>
      <c r="H87" s="77"/>
      <c r="I87" s="77"/>
      <c r="J87" s="77">
        <f t="shared" si="9"/>
        <v>30890</v>
      </c>
      <c r="K87" s="77">
        <v>7418.98</v>
      </c>
      <c r="L87" s="77">
        <f t="shared" si="7"/>
        <v>23471.02</v>
      </c>
      <c r="M87" s="78">
        <f t="shared" si="11"/>
        <v>5.3647900769844747E-3</v>
      </c>
      <c r="N87" s="65"/>
      <c r="O87" s="65"/>
    </row>
    <row r="88" spans="1:15" ht="17.100000000000001" customHeight="1" x14ac:dyDescent="0.2">
      <c r="A88" s="88" t="s">
        <v>185</v>
      </c>
      <c r="B88" s="72" t="s">
        <v>186</v>
      </c>
      <c r="C88" s="77">
        <v>4793.1600000000008</v>
      </c>
      <c r="D88" s="77">
        <v>17750</v>
      </c>
      <c r="E88" s="77"/>
      <c r="F88" s="77">
        <v>985</v>
      </c>
      <c r="G88" s="77"/>
      <c r="H88" s="77"/>
      <c r="I88" s="77"/>
      <c r="J88" s="77">
        <f t="shared" si="9"/>
        <v>23528.16</v>
      </c>
      <c r="K88" s="77">
        <v>1634.8</v>
      </c>
      <c r="L88" s="77">
        <f t="shared" si="7"/>
        <v>21893.360000000001</v>
      </c>
      <c r="M88" s="78">
        <f t="shared" si="11"/>
        <v>1.1821515650202886E-3</v>
      </c>
      <c r="N88" s="65"/>
      <c r="O88" s="65"/>
    </row>
    <row r="89" spans="1:15" ht="17.100000000000001" customHeight="1" x14ac:dyDescent="0.2">
      <c r="A89" s="88" t="s">
        <v>187</v>
      </c>
      <c r="B89" s="72" t="s">
        <v>275</v>
      </c>
      <c r="C89" s="77">
        <v>1250</v>
      </c>
      <c r="D89" s="77"/>
      <c r="E89" s="77"/>
      <c r="F89" s="77">
        <v>650</v>
      </c>
      <c r="G89" s="77"/>
      <c r="H89" s="77"/>
      <c r="I89" s="77"/>
      <c r="J89" s="77">
        <f t="shared" si="9"/>
        <v>1900</v>
      </c>
      <c r="K89" s="77">
        <v>0</v>
      </c>
      <c r="L89" s="77">
        <f t="shared" ref="L89:L121" si="12">J89-K89</f>
        <v>1900</v>
      </c>
      <c r="M89" s="78">
        <f t="shared" si="11"/>
        <v>0</v>
      </c>
      <c r="N89" s="65"/>
      <c r="O89" s="65"/>
    </row>
    <row r="90" spans="1:15" ht="17.100000000000001" customHeight="1" x14ac:dyDescent="0.2">
      <c r="A90" s="88" t="s">
        <v>189</v>
      </c>
      <c r="B90" s="72" t="s">
        <v>76</v>
      </c>
      <c r="C90" s="77">
        <v>165089.08000000002</v>
      </c>
      <c r="D90" s="77"/>
      <c r="E90" s="77">
        <v>2000</v>
      </c>
      <c r="F90" s="77"/>
      <c r="G90" s="77">
        <v>77463</v>
      </c>
      <c r="H90" s="77"/>
      <c r="I90" s="77"/>
      <c r="J90" s="77">
        <f t="shared" si="9"/>
        <v>85626.080000000016</v>
      </c>
      <c r="K90" s="77">
        <v>0</v>
      </c>
      <c r="L90" s="77">
        <f t="shared" si="12"/>
        <v>85626.080000000016</v>
      </c>
      <c r="M90" s="78">
        <f t="shared" si="11"/>
        <v>0</v>
      </c>
      <c r="N90" s="65"/>
      <c r="O90" s="65"/>
    </row>
    <row r="91" spans="1:15" ht="17.100000000000001" customHeight="1" x14ac:dyDescent="0.2">
      <c r="A91" s="88" t="s">
        <v>190</v>
      </c>
      <c r="B91" s="72" t="s">
        <v>77</v>
      </c>
      <c r="C91" s="77">
        <v>0</v>
      </c>
      <c r="D91" s="77"/>
      <c r="E91" s="77"/>
      <c r="F91" s="77"/>
      <c r="G91" s="77"/>
      <c r="H91" s="77"/>
      <c r="I91" s="77"/>
      <c r="J91" s="77">
        <f t="shared" si="9"/>
        <v>0</v>
      </c>
      <c r="K91" s="77">
        <v>0</v>
      </c>
      <c r="L91" s="77">
        <f t="shared" si="12"/>
        <v>0</v>
      </c>
      <c r="M91" s="78">
        <f t="shared" si="11"/>
        <v>0</v>
      </c>
      <c r="N91" s="65"/>
      <c r="O91" s="65"/>
    </row>
    <row r="92" spans="1:15" ht="17.100000000000001" customHeight="1" x14ac:dyDescent="0.2">
      <c r="A92" s="88" t="s">
        <v>256</v>
      </c>
      <c r="B92" s="72" t="s">
        <v>257</v>
      </c>
      <c r="C92" s="77">
        <v>0</v>
      </c>
      <c r="D92" s="77">
        <v>1200</v>
      </c>
      <c r="E92" s="77"/>
      <c r="F92" s="77"/>
      <c r="G92" s="77"/>
      <c r="H92" s="77"/>
      <c r="I92" s="77"/>
      <c r="J92" s="77">
        <f t="shared" si="9"/>
        <v>1200</v>
      </c>
      <c r="K92" s="77">
        <v>0</v>
      </c>
      <c r="L92" s="77">
        <f t="shared" si="12"/>
        <v>1200</v>
      </c>
      <c r="M92" s="78">
        <f t="shared" si="11"/>
        <v>0</v>
      </c>
      <c r="N92" s="65"/>
      <c r="O92" s="65"/>
    </row>
    <row r="93" spans="1:15" ht="17.100000000000001" customHeight="1" x14ac:dyDescent="0.2">
      <c r="A93" s="88" t="s">
        <v>258</v>
      </c>
      <c r="B93" s="72" t="s">
        <v>259</v>
      </c>
      <c r="C93" s="77">
        <v>0</v>
      </c>
      <c r="D93" s="77">
        <v>750</v>
      </c>
      <c r="E93" s="77"/>
      <c r="F93" s="77"/>
      <c r="G93" s="77"/>
      <c r="H93" s="77"/>
      <c r="I93" s="77"/>
      <c r="J93" s="77">
        <f t="shared" si="9"/>
        <v>750</v>
      </c>
      <c r="K93" s="77">
        <v>0</v>
      </c>
      <c r="L93" s="77">
        <f t="shared" si="12"/>
        <v>750</v>
      </c>
      <c r="M93" s="78">
        <f t="shared" si="11"/>
        <v>0</v>
      </c>
      <c r="N93" s="65"/>
      <c r="O93" s="65"/>
    </row>
    <row r="94" spans="1:15" ht="17.100000000000001" customHeight="1" x14ac:dyDescent="0.2">
      <c r="A94" s="88" t="s">
        <v>191</v>
      </c>
      <c r="B94" s="72" t="s">
        <v>78</v>
      </c>
      <c r="C94" s="77">
        <v>1000</v>
      </c>
      <c r="D94" s="77"/>
      <c r="E94" s="77"/>
      <c r="F94" s="77"/>
      <c r="G94" s="77"/>
      <c r="H94" s="77"/>
      <c r="I94" s="77"/>
      <c r="J94" s="77">
        <f t="shared" si="9"/>
        <v>1000</v>
      </c>
      <c r="K94" s="77">
        <v>695.6</v>
      </c>
      <c r="L94" s="77">
        <f t="shared" si="12"/>
        <v>304.39999999999998</v>
      </c>
      <c r="M94" s="78">
        <f t="shared" si="11"/>
        <v>5.0300013985081526E-4</v>
      </c>
      <c r="N94" s="65"/>
      <c r="O94" s="65"/>
    </row>
    <row r="95" spans="1:15" ht="17.100000000000001" customHeight="1" x14ac:dyDescent="0.2">
      <c r="A95" s="88" t="s">
        <v>192</v>
      </c>
      <c r="B95" s="72" t="s">
        <v>79</v>
      </c>
      <c r="C95" s="77">
        <v>7500</v>
      </c>
      <c r="D95" s="77"/>
      <c r="E95" s="77"/>
      <c r="F95" s="77">
        <v>2500</v>
      </c>
      <c r="G95" s="77"/>
      <c r="H95" s="77"/>
      <c r="I95" s="77"/>
      <c r="J95" s="77">
        <f t="shared" si="9"/>
        <v>10000</v>
      </c>
      <c r="K95" s="77">
        <v>0</v>
      </c>
      <c r="L95" s="77">
        <f t="shared" si="12"/>
        <v>10000</v>
      </c>
      <c r="M95" s="78">
        <f t="shared" si="11"/>
        <v>0</v>
      </c>
      <c r="N95" s="65"/>
      <c r="O95" s="65"/>
    </row>
    <row r="96" spans="1:15" ht="17.100000000000001" customHeight="1" x14ac:dyDescent="0.2">
      <c r="A96" s="88" t="s">
        <v>193</v>
      </c>
      <c r="B96" s="72" t="s">
        <v>194</v>
      </c>
      <c r="C96" s="77">
        <v>1125749.23</v>
      </c>
      <c r="D96" s="77"/>
      <c r="E96" s="77">
        <v>8775</v>
      </c>
      <c r="F96" s="77"/>
      <c r="G96" s="77"/>
      <c r="H96" s="77"/>
      <c r="I96" s="77"/>
      <c r="J96" s="77">
        <f t="shared" si="9"/>
        <v>1116974.23</v>
      </c>
      <c r="K96" s="77">
        <v>0</v>
      </c>
      <c r="L96" s="77">
        <f t="shared" si="12"/>
        <v>1116974.23</v>
      </c>
      <c r="M96" s="78">
        <f t="shared" si="11"/>
        <v>0</v>
      </c>
      <c r="N96" s="65"/>
      <c r="O96" s="65"/>
    </row>
    <row r="97" spans="1:15" ht="17.100000000000001" customHeight="1" x14ac:dyDescent="0.2">
      <c r="A97" s="88" t="s">
        <v>260</v>
      </c>
      <c r="B97" s="72" t="s">
        <v>261</v>
      </c>
      <c r="C97" s="77">
        <v>0</v>
      </c>
      <c r="D97" s="77">
        <v>1750</v>
      </c>
      <c r="E97" s="77"/>
      <c r="F97" s="77"/>
      <c r="G97" s="77"/>
      <c r="H97" s="77"/>
      <c r="I97" s="77"/>
      <c r="J97" s="77">
        <f t="shared" si="9"/>
        <v>1750</v>
      </c>
      <c r="K97" s="77">
        <v>0</v>
      </c>
      <c r="L97" s="77">
        <f t="shared" si="12"/>
        <v>1750</v>
      </c>
      <c r="M97" s="78">
        <f t="shared" si="11"/>
        <v>0</v>
      </c>
      <c r="N97" s="65"/>
      <c r="O97" s="65"/>
    </row>
    <row r="98" spans="1:15" ht="17.100000000000001" customHeight="1" x14ac:dyDescent="0.2">
      <c r="A98" s="88" t="s">
        <v>195</v>
      </c>
      <c r="B98" s="72" t="s">
        <v>80</v>
      </c>
      <c r="C98" s="77">
        <v>9940</v>
      </c>
      <c r="D98" s="77"/>
      <c r="E98" s="77">
        <v>625</v>
      </c>
      <c r="F98" s="77"/>
      <c r="G98" s="77"/>
      <c r="H98" s="77"/>
      <c r="I98" s="77"/>
      <c r="J98" s="77">
        <f t="shared" si="9"/>
        <v>9315</v>
      </c>
      <c r="K98" s="77">
        <v>1733.9</v>
      </c>
      <c r="L98" s="77">
        <f t="shared" si="12"/>
        <v>7581.1</v>
      </c>
      <c r="M98" s="78">
        <f t="shared" si="11"/>
        <v>1.2538124532595293E-3</v>
      </c>
      <c r="N98" s="65"/>
      <c r="O98" s="65"/>
    </row>
    <row r="99" spans="1:15" ht="17.100000000000001" customHeight="1" x14ac:dyDescent="0.2">
      <c r="A99" s="88" t="s">
        <v>196</v>
      </c>
      <c r="B99" s="72" t="s">
        <v>197</v>
      </c>
      <c r="C99" s="77">
        <v>2250</v>
      </c>
      <c r="D99" s="77"/>
      <c r="E99" s="77">
        <v>450</v>
      </c>
      <c r="F99" s="77"/>
      <c r="G99" s="77"/>
      <c r="H99" s="77"/>
      <c r="I99" s="77"/>
      <c r="J99" s="77">
        <f t="shared" si="9"/>
        <v>1800</v>
      </c>
      <c r="K99" s="77">
        <v>352.25</v>
      </c>
      <c r="L99" s="77">
        <f t="shared" si="12"/>
        <v>1447.75</v>
      </c>
      <c r="M99" s="78">
        <f t="shared" si="11"/>
        <v>2.5471794028529278E-4</v>
      </c>
      <c r="N99" s="65"/>
      <c r="O99" s="65"/>
    </row>
    <row r="100" spans="1:15" ht="17.100000000000001" customHeight="1" x14ac:dyDescent="0.2">
      <c r="A100" s="88" t="s">
        <v>198</v>
      </c>
      <c r="B100" s="72" t="s">
        <v>81</v>
      </c>
      <c r="C100" s="77">
        <v>122483.72</v>
      </c>
      <c r="D100" s="77"/>
      <c r="E100" s="77">
        <v>31960</v>
      </c>
      <c r="F100" s="77">
        <v>3600</v>
      </c>
      <c r="G100" s="77"/>
      <c r="H100" s="77"/>
      <c r="I100" s="77"/>
      <c r="J100" s="77">
        <f t="shared" si="9"/>
        <v>94123.72</v>
      </c>
      <c r="K100" s="77">
        <v>5400</v>
      </c>
      <c r="L100" s="77">
        <f t="shared" si="12"/>
        <v>88723.72</v>
      </c>
      <c r="M100" s="78">
        <f t="shared" si="11"/>
        <v>3.9048314479505492E-3</v>
      </c>
      <c r="N100" s="65"/>
      <c r="O100" s="65"/>
    </row>
    <row r="101" spans="1:15" ht="17.100000000000001" customHeight="1" x14ac:dyDescent="0.2">
      <c r="A101" s="88" t="s">
        <v>199</v>
      </c>
      <c r="B101" s="72" t="s">
        <v>200</v>
      </c>
      <c r="C101" s="77">
        <v>650</v>
      </c>
      <c r="D101" s="77"/>
      <c r="E101" s="77">
        <v>150</v>
      </c>
      <c r="F101" s="77"/>
      <c r="G101" s="77"/>
      <c r="H101" s="77"/>
      <c r="I101" s="77"/>
      <c r="J101" s="77">
        <f t="shared" si="9"/>
        <v>500</v>
      </c>
      <c r="K101" s="77">
        <v>0</v>
      </c>
      <c r="L101" s="77">
        <f t="shared" si="12"/>
        <v>500</v>
      </c>
      <c r="M101" s="78">
        <f t="shared" si="11"/>
        <v>0</v>
      </c>
      <c r="N101" s="65"/>
      <c r="O101" s="65"/>
    </row>
    <row r="102" spans="1:15" ht="17.100000000000001" customHeight="1" x14ac:dyDescent="0.2">
      <c r="A102" s="88" t="s">
        <v>201</v>
      </c>
      <c r="B102" s="72" t="s">
        <v>202</v>
      </c>
      <c r="C102" s="77">
        <v>6900</v>
      </c>
      <c r="D102" s="77"/>
      <c r="E102" s="77">
        <v>300</v>
      </c>
      <c r="F102" s="77">
        <v>5250</v>
      </c>
      <c r="G102" s="77"/>
      <c r="H102" s="77"/>
      <c r="I102" s="77"/>
      <c r="J102" s="77">
        <f t="shared" si="9"/>
        <v>11850</v>
      </c>
      <c r="K102" s="77">
        <v>52</v>
      </c>
      <c r="L102" s="77">
        <f t="shared" si="12"/>
        <v>11798</v>
      </c>
      <c r="M102" s="78">
        <f t="shared" si="11"/>
        <v>3.7602080609894177E-5</v>
      </c>
      <c r="N102" s="65"/>
      <c r="O102" s="65"/>
    </row>
    <row r="103" spans="1:15" ht="17.100000000000001" customHeight="1" x14ac:dyDescent="0.2">
      <c r="A103" s="88" t="s">
        <v>203</v>
      </c>
      <c r="B103" s="72" t="s">
        <v>82</v>
      </c>
      <c r="C103" s="77">
        <v>85470</v>
      </c>
      <c r="D103" s="77"/>
      <c r="E103" s="77">
        <v>5669</v>
      </c>
      <c r="F103" s="77">
        <v>15690</v>
      </c>
      <c r="G103" s="77"/>
      <c r="H103" s="77"/>
      <c r="I103" s="77"/>
      <c r="J103" s="77">
        <f t="shared" si="9"/>
        <v>95491</v>
      </c>
      <c r="K103" s="77">
        <v>11717.84</v>
      </c>
      <c r="L103" s="77">
        <f t="shared" si="12"/>
        <v>83773.16</v>
      </c>
      <c r="M103" s="78">
        <f t="shared" si="11"/>
        <v>8.4733685433431224E-3</v>
      </c>
      <c r="N103" s="65"/>
      <c r="O103" s="65"/>
    </row>
    <row r="104" spans="1:15" ht="17.100000000000001" customHeight="1" x14ac:dyDescent="0.2">
      <c r="A104" s="88" t="s">
        <v>204</v>
      </c>
      <c r="B104" s="72" t="s">
        <v>83</v>
      </c>
      <c r="C104" s="77">
        <v>15600</v>
      </c>
      <c r="D104" s="77"/>
      <c r="E104" s="77">
        <v>3600</v>
      </c>
      <c r="F104" s="77"/>
      <c r="G104" s="77"/>
      <c r="H104" s="77"/>
      <c r="I104" s="77"/>
      <c r="J104" s="77">
        <f t="shared" si="9"/>
        <v>12000</v>
      </c>
      <c r="K104" s="77">
        <v>651.74</v>
      </c>
      <c r="L104" s="77">
        <f t="shared" si="12"/>
        <v>11348.26</v>
      </c>
      <c r="M104" s="78">
        <f t="shared" si="11"/>
        <v>4.712842310902391E-4</v>
      </c>
      <c r="N104" s="65"/>
      <c r="O104" s="65"/>
    </row>
    <row r="105" spans="1:15" ht="17.100000000000001" customHeight="1" x14ac:dyDescent="0.2">
      <c r="A105" s="88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  <c r="N105" s="65"/>
      <c r="O105" s="65"/>
    </row>
    <row r="106" spans="1:15" ht="17.100000000000001" customHeight="1" x14ac:dyDescent="0.25">
      <c r="A106" s="86">
        <v>3</v>
      </c>
      <c r="B106" s="87" t="s">
        <v>84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8"/>
      <c r="N106" s="65"/>
      <c r="O106" s="65"/>
    </row>
    <row r="107" spans="1:15" ht="17.100000000000001" customHeight="1" x14ac:dyDescent="0.2">
      <c r="A107" s="88" t="s">
        <v>205</v>
      </c>
      <c r="B107" s="72" t="s">
        <v>85</v>
      </c>
      <c r="C107" s="77">
        <v>162200</v>
      </c>
      <c r="D107" s="77"/>
      <c r="E107" s="77"/>
      <c r="F107" s="77"/>
      <c r="G107" s="77"/>
      <c r="H107" s="77"/>
      <c r="I107" s="77"/>
      <c r="J107" s="77">
        <f t="shared" ref="J107:J121" si="13">C107+D107-E107+F107-G107+H107-I107</f>
        <v>162200</v>
      </c>
      <c r="K107" s="77">
        <v>0</v>
      </c>
      <c r="L107" s="77">
        <f t="shared" si="12"/>
        <v>162200</v>
      </c>
      <c r="M107" s="78">
        <f t="shared" ref="M107:M112" si="14">K107/$K$123</f>
        <v>0</v>
      </c>
      <c r="N107" s="65"/>
      <c r="O107" s="65"/>
    </row>
    <row r="108" spans="1:15" ht="17.100000000000001" customHeight="1" x14ac:dyDescent="0.2">
      <c r="A108" s="88" t="s">
        <v>206</v>
      </c>
      <c r="B108" s="72" t="s">
        <v>207</v>
      </c>
      <c r="C108" s="77">
        <v>0</v>
      </c>
      <c r="D108" s="77"/>
      <c r="E108" s="77"/>
      <c r="F108" s="77"/>
      <c r="G108" s="77"/>
      <c r="H108" s="77"/>
      <c r="I108" s="77"/>
      <c r="J108" s="77">
        <f t="shared" si="13"/>
        <v>0</v>
      </c>
      <c r="K108" s="77">
        <v>0</v>
      </c>
      <c r="L108" s="77">
        <f t="shared" si="12"/>
        <v>0</v>
      </c>
      <c r="M108" s="78">
        <f t="shared" si="14"/>
        <v>0</v>
      </c>
      <c r="N108" s="65"/>
      <c r="O108" s="65"/>
    </row>
    <row r="109" spans="1:15" ht="17.100000000000001" customHeight="1" x14ac:dyDescent="0.2">
      <c r="A109" s="88" t="s">
        <v>208</v>
      </c>
      <c r="B109" s="72" t="s">
        <v>209</v>
      </c>
      <c r="C109" s="77">
        <v>1856690.49</v>
      </c>
      <c r="D109" s="77"/>
      <c r="E109" s="77"/>
      <c r="F109" s="77"/>
      <c r="G109" s="77"/>
      <c r="H109" s="77"/>
      <c r="I109" s="77"/>
      <c r="J109" s="77">
        <f t="shared" si="13"/>
        <v>1856690.49</v>
      </c>
      <c r="K109" s="77">
        <v>0</v>
      </c>
      <c r="L109" s="77">
        <f t="shared" si="12"/>
        <v>1856690.49</v>
      </c>
      <c r="M109" s="78">
        <f t="shared" si="14"/>
        <v>0</v>
      </c>
      <c r="N109" s="65"/>
      <c r="O109" s="65"/>
    </row>
    <row r="110" spans="1:15" ht="17.100000000000001" customHeight="1" x14ac:dyDescent="0.2">
      <c r="A110" s="88" t="s">
        <v>210</v>
      </c>
      <c r="B110" s="72" t="s">
        <v>211</v>
      </c>
      <c r="C110" s="77">
        <v>200000</v>
      </c>
      <c r="D110" s="77"/>
      <c r="E110" s="77"/>
      <c r="F110" s="77"/>
      <c r="G110" s="77"/>
      <c r="H110" s="77"/>
      <c r="I110" s="77"/>
      <c r="J110" s="77">
        <f t="shared" si="13"/>
        <v>200000</v>
      </c>
      <c r="K110" s="77">
        <v>0</v>
      </c>
      <c r="L110" s="77">
        <f t="shared" si="12"/>
        <v>200000</v>
      </c>
      <c r="M110" s="78">
        <f t="shared" si="14"/>
        <v>0</v>
      </c>
      <c r="N110" s="65"/>
      <c r="O110" s="65"/>
    </row>
    <row r="111" spans="1:15" ht="17.100000000000001" customHeight="1" x14ac:dyDescent="0.2">
      <c r="A111" s="88" t="s">
        <v>212</v>
      </c>
      <c r="B111" s="72" t="s">
        <v>213</v>
      </c>
      <c r="C111" s="77">
        <v>500</v>
      </c>
      <c r="D111" s="77"/>
      <c r="E111" s="77"/>
      <c r="F111" s="77">
        <v>1200</v>
      </c>
      <c r="G111" s="77"/>
      <c r="H111" s="77"/>
      <c r="I111" s="77"/>
      <c r="J111" s="77">
        <f t="shared" si="13"/>
        <v>1700</v>
      </c>
      <c r="K111" s="77">
        <v>0</v>
      </c>
      <c r="L111" s="77">
        <f t="shared" si="12"/>
        <v>1700</v>
      </c>
      <c r="M111" s="78">
        <f t="shared" si="14"/>
        <v>0</v>
      </c>
      <c r="N111" s="65"/>
      <c r="O111" s="65"/>
    </row>
    <row r="112" spans="1:15" ht="17.100000000000001" customHeight="1" x14ac:dyDescent="0.2">
      <c r="A112" s="88" t="s">
        <v>214</v>
      </c>
      <c r="B112" s="72" t="s">
        <v>215</v>
      </c>
      <c r="C112" s="77">
        <v>17500</v>
      </c>
      <c r="D112" s="77"/>
      <c r="E112" s="77"/>
      <c r="F112" s="77"/>
      <c r="G112" s="77"/>
      <c r="H112" s="77"/>
      <c r="I112" s="77"/>
      <c r="J112" s="77">
        <f t="shared" si="13"/>
        <v>17500</v>
      </c>
      <c r="K112" s="77">
        <v>5640</v>
      </c>
      <c r="L112" s="77">
        <f t="shared" si="12"/>
        <v>11860</v>
      </c>
      <c r="M112" s="78">
        <f t="shared" si="14"/>
        <v>4.0783795123039068E-3</v>
      </c>
      <c r="N112" s="65"/>
      <c r="O112" s="65"/>
    </row>
    <row r="113" spans="1:15" ht="17.100000000000001" customHeight="1" x14ac:dyDescent="0.2">
      <c r="A113" s="88" t="s">
        <v>216</v>
      </c>
      <c r="B113" s="72" t="s">
        <v>217</v>
      </c>
      <c r="C113" s="77">
        <v>20500</v>
      </c>
      <c r="D113" s="77"/>
      <c r="E113" s="77"/>
      <c r="F113" s="77"/>
      <c r="G113" s="77"/>
      <c r="H113" s="77"/>
      <c r="I113" s="77"/>
      <c r="J113" s="77">
        <f t="shared" si="13"/>
        <v>20500</v>
      </c>
      <c r="K113" s="77">
        <v>0</v>
      </c>
      <c r="L113" s="77">
        <f t="shared" si="12"/>
        <v>20500</v>
      </c>
      <c r="M113" s="78"/>
      <c r="N113" s="65"/>
      <c r="O113" s="65"/>
    </row>
    <row r="114" spans="1:15" ht="17.100000000000001" customHeight="1" x14ac:dyDescent="0.2">
      <c r="A114" s="88" t="s">
        <v>218</v>
      </c>
      <c r="B114" s="72" t="s">
        <v>219</v>
      </c>
      <c r="C114" s="77">
        <v>2784974.71</v>
      </c>
      <c r="D114" s="77"/>
      <c r="E114" s="77"/>
      <c r="F114" s="77"/>
      <c r="G114" s="77"/>
      <c r="H114" s="77"/>
      <c r="I114" s="77"/>
      <c r="J114" s="77">
        <f t="shared" si="13"/>
        <v>2784974.71</v>
      </c>
      <c r="K114" s="77">
        <v>0</v>
      </c>
      <c r="L114" s="77">
        <f t="shared" si="12"/>
        <v>2784974.71</v>
      </c>
      <c r="M114" s="78"/>
      <c r="N114" s="65"/>
      <c r="O114" s="65"/>
    </row>
    <row r="115" spans="1:15" ht="17.100000000000001" customHeight="1" x14ac:dyDescent="0.2">
      <c r="A115" s="88"/>
      <c r="B115" s="72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8"/>
      <c r="N115" s="65"/>
      <c r="O115" s="65"/>
    </row>
    <row r="116" spans="1:15" ht="17.100000000000001" customHeight="1" x14ac:dyDescent="0.25">
      <c r="A116" s="86">
        <v>4</v>
      </c>
      <c r="B116" s="87" t="s">
        <v>86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8"/>
      <c r="N116" s="65"/>
      <c r="O116" s="65"/>
    </row>
    <row r="117" spans="1:15" ht="17.100000000000001" customHeight="1" x14ac:dyDescent="0.2">
      <c r="A117" s="88" t="s">
        <v>220</v>
      </c>
      <c r="B117" s="72" t="s">
        <v>221</v>
      </c>
      <c r="C117" s="77">
        <v>20750</v>
      </c>
      <c r="D117" s="77"/>
      <c r="E117" s="77"/>
      <c r="F117" s="77"/>
      <c r="G117" s="77"/>
      <c r="H117" s="77"/>
      <c r="I117" s="77"/>
      <c r="J117" s="77">
        <f t="shared" si="13"/>
        <v>20750</v>
      </c>
      <c r="K117" s="77">
        <v>0</v>
      </c>
      <c r="L117" s="77">
        <f t="shared" si="12"/>
        <v>20750</v>
      </c>
      <c r="M117" s="78">
        <f>K117/$K$123</f>
        <v>0</v>
      </c>
      <c r="N117" s="65"/>
      <c r="O117" s="65"/>
    </row>
    <row r="118" spans="1:15" ht="17.100000000000001" customHeight="1" x14ac:dyDescent="0.2">
      <c r="A118" s="88" t="s">
        <v>222</v>
      </c>
      <c r="B118" s="72" t="s">
        <v>223</v>
      </c>
      <c r="C118" s="77">
        <v>7600</v>
      </c>
      <c r="D118" s="77"/>
      <c r="E118" s="77"/>
      <c r="F118" s="77"/>
      <c r="G118" s="77"/>
      <c r="H118" s="77"/>
      <c r="I118" s="77"/>
      <c r="J118" s="77">
        <f t="shared" si="13"/>
        <v>7600</v>
      </c>
      <c r="K118" s="77">
        <v>0</v>
      </c>
      <c r="L118" s="77">
        <f t="shared" si="12"/>
        <v>7600</v>
      </c>
      <c r="M118" s="78">
        <f>K118/$K$123</f>
        <v>0</v>
      </c>
      <c r="N118" s="65"/>
      <c r="O118" s="65"/>
    </row>
    <row r="119" spans="1:15" ht="17.100000000000001" customHeight="1" x14ac:dyDescent="0.2">
      <c r="A119" s="88" t="s">
        <v>224</v>
      </c>
      <c r="B119" s="72" t="s">
        <v>240</v>
      </c>
      <c r="C119" s="77">
        <v>9600</v>
      </c>
      <c r="D119" s="77"/>
      <c r="E119" s="77"/>
      <c r="F119" s="77">
        <v>46500</v>
      </c>
      <c r="G119" s="77"/>
      <c r="H119" s="77"/>
      <c r="I119" s="77"/>
      <c r="J119" s="77">
        <f t="shared" si="13"/>
        <v>56100</v>
      </c>
      <c r="K119" s="77">
        <v>5600</v>
      </c>
      <c r="L119" s="77">
        <f t="shared" si="12"/>
        <v>50500</v>
      </c>
      <c r="M119" s="78">
        <f>K119/$K$123</f>
        <v>4.0494548349116807E-3</v>
      </c>
      <c r="N119" s="65"/>
      <c r="O119" s="65"/>
    </row>
    <row r="120" spans="1:15" ht="17.100000000000001" customHeight="1" x14ac:dyDescent="0.2">
      <c r="A120" s="88" t="s">
        <v>226</v>
      </c>
      <c r="B120" s="72" t="s">
        <v>227</v>
      </c>
      <c r="C120" s="77">
        <v>0</v>
      </c>
      <c r="D120" s="77">
        <v>20000</v>
      </c>
      <c r="E120" s="77"/>
      <c r="F120" s="77"/>
      <c r="G120" s="77">
        <v>20000</v>
      </c>
      <c r="H120" s="77"/>
      <c r="I120" s="77"/>
      <c r="J120" s="77">
        <f t="shared" si="13"/>
        <v>0</v>
      </c>
      <c r="K120" s="77">
        <v>0</v>
      </c>
      <c r="L120" s="77">
        <f t="shared" si="12"/>
        <v>0</v>
      </c>
      <c r="M120" s="78">
        <f>K120/$K$123</f>
        <v>0</v>
      </c>
      <c r="N120" s="65"/>
      <c r="O120" s="65"/>
    </row>
    <row r="121" spans="1:15" s="65" customFormat="1" ht="17.100000000000001" customHeight="1" x14ac:dyDescent="0.2">
      <c r="A121" s="88" t="s">
        <v>228</v>
      </c>
      <c r="B121" s="72" t="s">
        <v>87</v>
      </c>
      <c r="C121" s="89">
        <v>11050</v>
      </c>
      <c r="D121" s="89"/>
      <c r="E121" s="89"/>
      <c r="F121" s="89"/>
      <c r="G121" s="89"/>
      <c r="H121" s="89"/>
      <c r="I121" s="89"/>
      <c r="J121" s="89">
        <f t="shared" si="13"/>
        <v>11050</v>
      </c>
      <c r="K121" s="89">
        <v>6370.87</v>
      </c>
      <c r="L121" s="89">
        <f t="shared" si="12"/>
        <v>4679.13</v>
      </c>
      <c r="M121" s="78">
        <f>K121/$K$123</f>
        <v>4.6068839864453178E-3</v>
      </c>
    </row>
    <row r="122" spans="1:15" s="65" customFormat="1" ht="17.100000000000001" customHeight="1" thickBot="1" x14ac:dyDescent="0.25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3"/>
    </row>
    <row r="123" spans="1:15" s="65" customFormat="1" ht="17.100000000000001" customHeight="1" thickBot="1" x14ac:dyDescent="0.3">
      <c r="A123" s="80"/>
      <c r="B123" s="80" t="s">
        <v>88</v>
      </c>
      <c r="C123" s="81">
        <f>SUM(C25:C122)</f>
        <v>10804273.189999999</v>
      </c>
      <c r="D123" s="81">
        <f t="shared" ref="D123:G123" si="15">SUM(D25:D122)</f>
        <v>191539.09</v>
      </c>
      <c r="E123" s="81">
        <f t="shared" si="15"/>
        <v>94829</v>
      </c>
      <c r="F123" s="81">
        <f t="shared" si="15"/>
        <v>361650</v>
      </c>
      <c r="G123" s="81">
        <f t="shared" si="15"/>
        <v>106963</v>
      </c>
      <c r="H123" s="81">
        <v>0</v>
      </c>
      <c r="I123" s="81">
        <v>0</v>
      </c>
      <c r="J123" s="81">
        <f>SUM(J25:J122)</f>
        <v>11155670.279999999</v>
      </c>
      <c r="K123" s="81">
        <f>SUM(K25:K122)</f>
        <v>1382902.2</v>
      </c>
      <c r="L123" s="81">
        <f>SUM(L25:L122)</f>
        <v>9772768.0800000001</v>
      </c>
      <c r="M123" s="94">
        <v>1</v>
      </c>
    </row>
    <row r="124" spans="1:15" s="65" customFormat="1" ht="15" x14ac:dyDescent="0.2">
      <c r="C124" s="95"/>
      <c r="D124" s="96"/>
      <c r="E124" s="97"/>
      <c r="F124" s="97"/>
      <c r="G124" s="97"/>
      <c r="H124" s="97"/>
      <c r="I124" s="97"/>
      <c r="J124" s="95"/>
      <c r="K124" s="98"/>
      <c r="L124" s="97"/>
    </row>
    <row r="125" spans="1:15" s="65" customFormat="1" ht="15.75" thickBot="1" x14ac:dyDescent="0.25">
      <c r="C125" s="97"/>
      <c r="D125" s="97"/>
      <c r="E125" s="97"/>
      <c r="F125" s="97"/>
      <c r="G125" s="97"/>
      <c r="H125" s="97"/>
      <c r="I125" s="97"/>
      <c r="J125" s="99"/>
      <c r="K125" s="99"/>
      <c r="L125" s="97"/>
    </row>
    <row r="126" spans="1:15" s="65" customFormat="1" ht="15.75" x14ac:dyDescent="0.25">
      <c r="A126" s="100" t="s">
        <v>89</v>
      </c>
      <c r="B126" s="101"/>
      <c r="C126" s="102"/>
      <c r="D126" s="97"/>
      <c r="E126" s="97"/>
      <c r="F126" s="97"/>
      <c r="G126" s="97"/>
      <c r="H126" s="97"/>
      <c r="I126" s="97"/>
      <c r="J126" s="97"/>
      <c r="K126" s="99"/>
      <c r="L126" s="97"/>
    </row>
    <row r="127" spans="1:15" s="65" customFormat="1" ht="15.75" x14ac:dyDescent="0.25">
      <c r="A127" s="103" t="s">
        <v>3</v>
      </c>
      <c r="B127" s="104"/>
      <c r="C127" s="105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1:15" s="65" customFormat="1" ht="8.1" customHeight="1" thickBot="1" x14ac:dyDescent="0.25">
      <c r="A128" s="106"/>
      <c r="B128" s="107"/>
      <c r="C128" s="108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1:12" s="65" customFormat="1" ht="8.1" customHeight="1" x14ac:dyDescent="0.2">
      <c r="A129" s="109"/>
      <c r="B129" s="110"/>
      <c r="C129" s="111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1:12" s="65" customFormat="1" ht="15.95" customHeight="1" x14ac:dyDescent="0.2">
      <c r="A130" s="112" t="s">
        <v>90</v>
      </c>
      <c r="B130" s="113"/>
      <c r="C130" s="114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1:12" s="65" customFormat="1" ht="15.95" customHeight="1" x14ac:dyDescent="0.2">
      <c r="A131" s="115" t="s">
        <v>229</v>
      </c>
      <c r="B131" s="113"/>
      <c r="C131" s="61">
        <f>198363.1+404138.05-4196.85</f>
        <v>598304.30000000005</v>
      </c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1:12" s="65" customFormat="1" ht="15.95" customHeight="1" x14ac:dyDescent="0.2">
      <c r="A132" s="115" t="s">
        <v>91</v>
      </c>
      <c r="B132" s="113"/>
      <c r="C132" s="61">
        <f>+K20</f>
        <v>1768128.3000000003</v>
      </c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1:12" s="65" customFormat="1" ht="15.95" customHeight="1" x14ac:dyDescent="0.2">
      <c r="A133" s="115" t="s">
        <v>92</v>
      </c>
      <c r="B133" s="113"/>
      <c r="C133" s="116">
        <f>-K123</f>
        <v>-1382902.2</v>
      </c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1:12" s="65" customFormat="1" ht="15.95" customHeight="1" x14ac:dyDescent="0.25">
      <c r="A134" s="117" t="s">
        <v>93</v>
      </c>
      <c r="B134" s="118"/>
      <c r="C134" s="119">
        <f>SUM(C131:C133)</f>
        <v>983530.40000000061</v>
      </c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1:12" s="65" customFormat="1" ht="8.1" customHeight="1" x14ac:dyDescent="0.25">
      <c r="A135" s="117"/>
      <c r="B135" s="118"/>
      <c r="C135" s="119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1:12" s="65" customFormat="1" ht="15.95" customHeight="1" x14ac:dyDescent="0.2">
      <c r="A136" s="112" t="s">
        <v>94</v>
      </c>
      <c r="B136" s="113"/>
      <c r="C136" s="61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1:12" s="65" customFormat="1" ht="15.95" customHeight="1" x14ac:dyDescent="0.2">
      <c r="A137" s="115" t="s">
        <v>95</v>
      </c>
      <c r="B137" s="113"/>
      <c r="C137" s="61">
        <v>3003.67</v>
      </c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1:12" s="65" customFormat="1" ht="15.95" customHeight="1" x14ac:dyDescent="0.2">
      <c r="A138" s="115" t="s">
        <v>280</v>
      </c>
      <c r="B138" s="113"/>
      <c r="C138" s="61">
        <v>219.61</v>
      </c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1:12" s="65" customFormat="1" ht="15.95" customHeight="1" x14ac:dyDescent="0.2">
      <c r="A139" s="115" t="s">
        <v>97</v>
      </c>
      <c r="B139" s="113"/>
      <c r="C139" s="61">
        <v>19517.84</v>
      </c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1:12" s="65" customFormat="1" ht="5.0999999999999996" customHeight="1" x14ac:dyDescent="0.2">
      <c r="A140" s="115"/>
      <c r="B140" s="113"/>
      <c r="C140" s="116"/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1:12" s="65" customFormat="1" ht="15.75" x14ac:dyDescent="0.25">
      <c r="A141" s="117"/>
      <c r="B141" s="118"/>
      <c r="C141" s="119">
        <f>SUM(C136:C140)</f>
        <v>22741.119999999999</v>
      </c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1:12" s="65" customFormat="1" ht="5.0999999999999996" customHeight="1" x14ac:dyDescent="0.25">
      <c r="A142" s="117"/>
      <c r="B142" s="118"/>
      <c r="C142" s="120"/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1:12" s="65" customFormat="1" ht="8.1" customHeight="1" x14ac:dyDescent="0.25">
      <c r="A143" s="117"/>
      <c r="B143" s="118"/>
      <c r="C143" s="119"/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1:12" s="65" customFormat="1" ht="16.5" thickBot="1" x14ac:dyDescent="0.3">
      <c r="A144" s="121" t="s">
        <v>276</v>
      </c>
      <c r="B144" s="122"/>
      <c r="C144" s="123">
        <f>C134+C141</f>
        <v>1006271.5200000006</v>
      </c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1:12" s="65" customFormat="1" ht="15" x14ac:dyDescent="0.2">
      <c r="A145" s="65" t="s">
        <v>277</v>
      </c>
      <c r="C145" s="99">
        <f>1006271.52-C144</f>
        <v>0</v>
      </c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1:12" s="65" customFormat="1" ht="15" x14ac:dyDescent="0.2">
      <c r="C146" s="97"/>
    </row>
    <row r="147" spans="1:12" s="65" customFormat="1" ht="15" x14ac:dyDescent="0.2">
      <c r="B147" s="65" t="s">
        <v>278</v>
      </c>
    </row>
    <row r="148" spans="1:12" s="65" customFormat="1" ht="15" x14ac:dyDescent="0.2"/>
    <row r="149" spans="1:12" s="65" customFormat="1" ht="15" x14ac:dyDescent="0.2"/>
    <row r="150" spans="1:12" s="65" customFormat="1" ht="15" x14ac:dyDescent="0.2"/>
    <row r="151" spans="1:12" s="65" customFormat="1" ht="15" x14ac:dyDescent="0.2"/>
    <row r="152" spans="1:12" s="65" customFormat="1" ht="15" x14ac:dyDescent="0.2"/>
    <row r="153" spans="1:12" s="65" customFormat="1" ht="15" x14ac:dyDescent="0.2">
      <c r="B153" s="65" t="s">
        <v>98</v>
      </c>
      <c r="F153" s="65" t="s">
        <v>99</v>
      </c>
      <c r="I153" s="124" t="s">
        <v>104</v>
      </c>
    </row>
    <row r="154" spans="1:12" s="65" customFormat="1" ht="15" x14ac:dyDescent="0.2">
      <c r="B154" s="65" t="s">
        <v>100</v>
      </c>
      <c r="F154" s="65" t="s">
        <v>101</v>
      </c>
      <c r="I154" s="124" t="s">
        <v>105</v>
      </c>
    </row>
    <row r="162" spans="7:7" x14ac:dyDescent="0.2">
      <c r="G162" s="130"/>
    </row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9370078740157483" footer="0.39370078740157483"/>
  <pageSetup scale="61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showGridLines="0" topLeftCell="B136" zoomScale="85" zoomScaleNormal="85" workbookViewId="0">
      <selection activeCell="I153" sqref="I153"/>
    </sheetView>
  </sheetViews>
  <sheetFormatPr baseColWidth="10" defaultRowHeight="14.25" x14ac:dyDescent="0.2"/>
  <cols>
    <col min="1" max="1" width="11.7109375" style="66" customWidth="1"/>
    <col min="2" max="2" width="48.7109375" style="66" customWidth="1"/>
    <col min="3" max="3" width="16.28515625" style="66" customWidth="1"/>
    <col min="4" max="9" width="15.7109375" style="66" customWidth="1"/>
    <col min="10" max="10" width="16.28515625" style="66" customWidth="1"/>
    <col min="11" max="11" width="15.7109375" style="66" customWidth="1"/>
    <col min="12" max="12" width="16.28515625" style="66" customWidth="1"/>
    <col min="13" max="13" width="10.7109375" style="66" customWidth="1"/>
    <col min="14" max="14" width="7" style="66" customWidth="1"/>
    <col min="15" max="15" width="18.7109375" style="66" customWidth="1"/>
    <col min="16" max="16384" width="11.42578125" style="66"/>
  </cols>
  <sheetData>
    <row r="1" spans="1:15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</row>
    <row r="2" spans="1:15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</row>
    <row r="3" spans="1:15" ht="15.75" x14ac:dyDescent="0.25">
      <c r="A3" s="64" t="s">
        <v>284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</row>
    <row r="4" spans="1:15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5"/>
    </row>
    <row r="5" spans="1:15" ht="15.7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6.5" thickBot="1" x14ac:dyDescent="0.3">
      <c r="A6" s="67" t="s">
        <v>102</v>
      </c>
      <c r="B6" s="181" t="s">
        <v>5</v>
      </c>
      <c r="C6" s="68" t="s">
        <v>6</v>
      </c>
      <c r="D6" s="69" t="s">
        <v>7</v>
      </c>
      <c r="E6" s="69"/>
      <c r="F6" s="69" t="s">
        <v>8</v>
      </c>
      <c r="G6" s="69"/>
      <c r="H6" s="69" t="s">
        <v>9</v>
      </c>
      <c r="I6" s="69"/>
      <c r="J6" s="67" t="s">
        <v>6</v>
      </c>
      <c r="K6" s="183" t="s">
        <v>10</v>
      </c>
      <c r="L6" s="67" t="s">
        <v>11</v>
      </c>
      <c r="M6" s="68" t="s">
        <v>12</v>
      </c>
      <c r="N6" s="65"/>
      <c r="O6" s="65"/>
    </row>
    <row r="7" spans="1:15" ht="16.5" thickBot="1" x14ac:dyDescent="0.3">
      <c r="A7" s="70" t="s">
        <v>103</v>
      </c>
      <c r="B7" s="182"/>
      <c r="C7" s="70" t="s">
        <v>13</v>
      </c>
      <c r="D7" s="70" t="s">
        <v>14</v>
      </c>
      <c r="E7" s="70" t="s">
        <v>15</v>
      </c>
      <c r="F7" s="70" t="s">
        <v>14</v>
      </c>
      <c r="G7" s="70" t="s">
        <v>15</v>
      </c>
      <c r="H7" s="70" t="s">
        <v>14</v>
      </c>
      <c r="I7" s="70" t="s">
        <v>15</v>
      </c>
      <c r="J7" s="70" t="s">
        <v>16</v>
      </c>
      <c r="K7" s="184"/>
      <c r="L7" s="70" t="s">
        <v>17</v>
      </c>
      <c r="M7" s="71" t="s">
        <v>18</v>
      </c>
      <c r="N7" s="65"/>
      <c r="O7" s="65"/>
    </row>
    <row r="8" spans="1:15" s="113" customFormat="1" ht="8.1" customHeight="1" x14ac:dyDescent="0.2">
      <c r="A8" s="91"/>
      <c r="B8" s="9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91"/>
    </row>
    <row r="9" spans="1:15" s="113" customFormat="1" ht="17.100000000000001" customHeight="1" x14ac:dyDescent="0.25">
      <c r="A9" s="73"/>
      <c r="B9" s="74" t="s">
        <v>19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3"/>
    </row>
    <row r="10" spans="1:15" s="65" customFormat="1" ht="17.100000000000001" customHeight="1" x14ac:dyDescent="0.25">
      <c r="A10" s="72"/>
      <c r="B10" s="76" t="s">
        <v>20</v>
      </c>
      <c r="C10" s="77">
        <f>198363.1+404138.05</f>
        <v>602501.15</v>
      </c>
      <c r="D10" s="77"/>
      <c r="E10" s="77">
        <v>4196.8500000000004</v>
      </c>
      <c r="F10" s="77"/>
      <c r="G10" s="77"/>
      <c r="H10" s="77"/>
      <c r="I10" s="77"/>
      <c r="J10" s="77">
        <f>C10+D10-E10+F10-G10+H10-I10</f>
        <v>598304.30000000005</v>
      </c>
      <c r="K10" s="77">
        <v>0</v>
      </c>
      <c r="L10" s="77">
        <f>J10-K10</f>
        <v>598304.30000000005</v>
      </c>
      <c r="M10" s="78">
        <f>K10/$K$20</f>
        <v>0</v>
      </c>
    </row>
    <row r="11" spans="1:15" s="65" customFormat="1" ht="17.100000000000001" customHeight="1" x14ac:dyDescent="0.2">
      <c r="A11" s="72" t="s">
        <v>241</v>
      </c>
      <c r="B11" s="72" t="s">
        <v>265</v>
      </c>
      <c r="C11" s="77">
        <v>15000</v>
      </c>
      <c r="D11" s="77">
        <v>13000</v>
      </c>
      <c r="E11" s="77"/>
      <c r="F11" s="77">
        <v>12500</v>
      </c>
      <c r="G11" s="77"/>
      <c r="H11" s="77"/>
      <c r="I11" s="77"/>
      <c r="J11" s="77">
        <f>C11+D11-E11+F11-G11+H11-I11</f>
        <v>40500</v>
      </c>
      <c r="K11" s="77">
        <f>18632+5000+3400+1600+1200+200</f>
        <v>30032</v>
      </c>
      <c r="L11" s="77">
        <f>J11-K11</f>
        <v>10468</v>
      </c>
      <c r="M11" s="78">
        <f>K11/$K$20</f>
        <v>9.958632149775281E-3</v>
      </c>
    </row>
    <row r="12" spans="1:15" s="65" customFormat="1" ht="17.100000000000001" customHeight="1" x14ac:dyDescent="0.2">
      <c r="A12" s="72" t="s">
        <v>242</v>
      </c>
      <c r="B12" s="72" t="s">
        <v>266</v>
      </c>
      <c r="C12" s="77">
        <v>65000</v>
      </c>
      <c r="D12" s="77"/>
      <c r="E12" s="77"/>
      <c r="F12" s="77"/>
      <c r="G12" s="77"/>
      <c r="H12" s="77"/>
      <c r="I12" s="77"/>
      <c r="J12" s="77">
        <f t="shared" ref="J12:J19" si="0">C12+D12-E12+F12-G12+H12-I12</f>
        <v>65000</v>
      </c>
      <c r="K12" s="77">
        <f>534+323+1088+416+1666+1472</f>
        <v>5499</v>
      </c>
      <c r="L12" s="77">
        <f t="shared" ref="L12:L14" si="1">J12-K12</f>
        <v>59501</v>
      </c>
      <c r="M12" s="78">
        <f t="shared" ref="M12:M19" si="2">K12/$K$20</f>
        <v>1.8234722360020734E-3</v>
      </c>
    </row>
    <row r="13" spans="1:15" s="65" customFormat="1" ht="17.100000000000001" customHeight="1" x14ac:dyDescent="0.2">
      <c r="A13" s="79" t="s">
        <v>243</v>
      </c>
      <c r="B13" s="72" t="s">
        <v>267</v>
      </c>
      <c r="C13" s="77">
        <v>3500</v>
      </c>
      <c r="D13" s="77"/>
      <c r="E13" s="77"/>
      <c r="F13" s="77"/>
      <c r="G13" s="77"/>
      <c r="H13" s="77"/>
      <c r="I13" s="77"/>
      <c r="J13" s="77">
        <f t="shared" si="0"/>
        <v>3500</v>
      </c>
      <c r="K13" s="77">
        <v>0</v>
      </c>
      <c r="L13" s="77">
        <f t="shared" si="1"/>
        <v>3500</v>
      </c>
      <c r="M13" s="78">
        <f t="shared" si="2"/>
        <v>0</v>
      </c>
    </row>
    <row r="14" spans="1:15" s="65" customFormat="1" ht="17.100000000000001" customHeight="1" x14ac:dyDescent="0.2">
      <c r="A14" s="79">
        <v>15.1</v>
      </c>
      <c r="B14" s="72" t="s">
        <v>247</v>
      </c>
      <c r="C14" s="77">
        <v>3000</v>
      </c>
      <c r="D14" s="77"/>
      <c r="E14" s="77"/>
      <c r="F14" s="77"/>
      <c r="G14" s="77"/>
      <c r="H14" s="77"/>
      <c r="I14" s="77"/>
      <c r="J14" s="77">
        <f t="shared" si="0"/>
        <v>3000</v>
      </c>
      <c r="K14" s="77">
        <f>124.33+112.98+208.84+38.13+43.09+95.27</f>
        <v>622.64</v>
      </c>
      <c r="L14" s="77">
        <f t="shared" si="1"/>
        <v>2377.36</v>
      </c>
      <c r="M14" s="78">
        <f t="shared" si="2"/>
        <v>2.0646785834230422E-4</v>
      </c>
    </row>
    <row r="15" spans="1:15" s="65" customFormat="1" ht="17.100000000000001" customHeight="1" x14ac:dyDescent="0.2">
      <c r="A15" s="72" t="s">
        <v>24</v>
      </c>
      <c r="B15" s="72" t="s">
        <v>25</v>
      </c>
      <c r="C15" s="77">
        <v>2745062.93</v>
      </c>
      <c r="D15" s="77">
        <v>95966.17</v>
      </c>
      <c r="E15" s="77"/>
      <c r="F15" s="77"/>
      <c r="G15" s="77"/>
      <c r="H15" s="77"/>
      <c r="I15" s="77"/>
      <c r="J15" s="77">
        <f t="shared" si="0"/>
        <v>2841029.1</v>
      </c>
      <c r="K15" s="77">
        <f>217424.77+238817.38+250602.62+215600.82+233212.59+215600.82</f>
        <v>1371259.0000000002</v>
      </c>
      <c r="L15" s="77">
        <f>J15-K15</f>
        <v>1469770.0999999999</v>
      </c>
      <c r="M15" s="78">
        <f t="shared" si="2"/>
        <v>0.45471044096526048</v>
      </c>
    </row>
    <row r="16" spans="1:15" s="65" customFormat="1" ht="17.100000000000001" customHeight="1" x14ac:dyDescent="0.2">
      <c r="A16" s="72" t="s">
        <v>26</v>
      </c>
      <c r="B16" s="72" t="s">
        <v>27</v>
      </c>
      <c r="C16" s="77">
        <v>4934974.71</v>
      </c>
      <c r="D16" s="77"/>
      <c r="E16" s="77"/>
      <c r="F16" s="77"/>
      <c r="G16" s="77"/>
      <c r="H16" s="77"/>
      <c r="I16" s="77"/>
      <c r="J16" s="77">
        <f t="shared" si="0"/>
        <v>4934974.71</v>
      </c>
      <c r="K16" s="77">
        <v>0</v>
      </c>
      <c r="L16" s="77">
        <f t="shared" ref="L16:L19" si="3">J16-K16</f>
        <v>4934974.71</v>
      </c>
      <c r="M16" s="78">
        <f t="shared" si="2"/>
        <v>0</v>
      </c>
    </row>
    <row r="17" spans="1:13" s="65" customFormat="1" ht="17.100000000000001" customHeight="1" x14ac:dyDescent="0.2">
      <c r="A17" s="72" t="s">
        <v>28</v>
      </c>
      <c r="B17" s="72" t="s">
        <v>29</v>
      </c>
      <c r="C17" s="77">
        <v>1290000</v>
      </c>
      <c r="D17" s="77"/>
      <c r="E17" s="77">
        <v>8059.23</v>
      </c>
      <c r="F17" s="77">
        <v>242187</v>
      </c>
      <c r="G17" s="77"/>
      <c r="H17" s="77">
        <v>240000</v>
      </c>
      <c r="I17" s="77"/>
      <c r="J17" s="77">
        <f t="shared" si="0"/>
        <v>1764127.77</v>
      </c>
      <c r="K17" s="77">
        <f>345758+5505+226820.75+255393</f>
        <v>833476.75</v>
      </c>
      <c r="L17" s="77">
        <f t="shared" si="3"/>
        <v>930651.02</v>
      </c>
      <c r="M17" s="78">
        <f t="shared" si="2"/>
        <v>0.2763814717181744</v>
      </c>
    </row>
    <row r="18" spans="1:13" s="65" customFormat="1" ht="17.100000000000001" customHeight="1" x14ac:dyDescent="0.2">
      <c r="A18" s="72" t="s">
        <v>30</v>
      </c>
      <c r="B18" s="72" t="s">
        <v>31</v>
      </c>
      <c r="C18" s="77">
        <v>20000</v>
      </c>
      <c r="D18" s="77"/>
      <c r="E18" s="77"/>
      <c r="F18" s="77"/>
      <c r="G18" s="77"/>
      <c r="H18" s="77"/>
      <c r="I18" s="77"/>
      <c r="J18" s="77">
        <f t="shared" si="0"/>
        <v>20000</v>
      </c>
      <c r="K18" s="77">
        <v>0</v>
      </c>
      <c r="L18" s="77">
        <f t="shared" si="3"/>
        <v>20000</v>
      </c>
      <c r="M18" s="78">
        <f t="shared" si="2"/>
        <v>0</v>
      </c>
    </row>
    <row r="19" spans="1:13" s="65" customFormat="1" ht="17.100000000000001" customHeight="1" thickBot="1" x14ac:dyDescent="0.25">
      <c r="A19" s="72"/>
      <c r="B19" s="72" t="s">
        <v>32</v>
      </c>
      <c r="C19" s="77">
        <f>850000+14137.2+261097.2</f>
        <v>1125234.3999999999</v>
      </c>
      <c r="D19" s="77"/>
      <c r="E19" s="77"/>
      <c r="F19" s="77"/>
      <c r="G19" s="77"/>
      <c r="H19" s="77"/>
      <c r="I19" s="77"/>
      <c r="J19" s="77">
        <f t="shared" si="0"/>
        <v>1125234.3999999999</v>
      </c>
      <c r="K19" s="77">
        <v>774785.81</v>
      </c>
      <c r="L19" s="77">
        <f t="shared" si="3"/>
        <v>350448.58999999985</v>
      </c>
      <c r="M19" s="78">
        <f t="shared" si="2"/>
        <v>0.25691951507244548</v>
      </c>
    </row>
    <row r="20" spans="1:13" s="65" customFormat="1" ht="17.100000000000001" customHeight="1" thickBot="1" x14ac:dyDescent="0.3">
      <c r="A20" s="80"/>
      <c r="B20" s="80" t="s">
        <v>33</v>
      </c>
      <c r="C20" s="81">
        <f>SUM(C10:C19)</f>
        <v>10804273.189999999</v>
      </c>
      <c r="D20" s="81">
        <f t="shared" ref="D20:E20" si="4">SUM(D10:D19)</f>
        <v>108966.17</v>
      </c>
      <c r="E20" s="81">
        <f t="shared" si="4"/>
        <v>12256.08</v>
      </c>
      <c r="F20" s="81">
        <f t="shared" ref="F20:I20" si="5">SUM(F11:F18)</f>
        <v>254687</v>
      </c>
      <c r="G20" s="81">
        <f t="shared" si="5"/>
        <v>0</v>
      </c>
      <c r="H20" s="81">
        <f t="shared" si="5"/>
        <v>240000</v>
      </c>
      <c r="I20" s="81">
        <f t="shared" si="5"/>
        <v>0</v>
      </c>
      <c r="J20" s="81">
        <f>SUM(J10:J19)</f>
        <v>11395670.279999999</v>
      </c>
      <c r="K20" s="81">
        <f>SUM(K10:K19)</f>
        <v>3015675.2</v>
      </c>
      <c r="L20" s="81">
        <f>SUM(L10:L19)</f>
        <v>8379995.0800000001</v>
      </c>
      <c r="M20" s="82">
        <v>0</v>
      </c>
    </row>
    <row r="21" spans="1:13" s="113" customFormat="1" ht="8.1" customHeight="1" x14ac:dyDescent="0.2">
      <c r="A21" s="126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8"/>
    </row>
    <row r="22" spans="1:13" s="113" customFormat="1" ht="17.100000000000001" customHeight="1" x14ac:dyDescent="0.25">
      <c r="A22" s="129" t="s">
        <v>4</v>
      </c>
      <c r="B22" s="74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3" s="65" customFormat="1" ht="17.100000000000001" customHeight="1" x14ac:dyDescent="0.25">
      <c r="A23" s="76"/>
      <c r="B23" s="8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s="65" customFormat="1" ht="17.100000000000001" customHeight="1" x14ac:dyDescent="0.25">
      <c r="A24" s="86">
        <v>0</v>
      </c>
      <c r="B24" s="87" t="s">
        <v>35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s="65" customFormat="1" ht="17.100000000000001" customHeight="1" x14ac:dyDescent="0.2">
      <c r="A25" s="88" t="s">
        <v>36</v>
      </c>
      <c r="B25" s="72" t="s">
        <v>106</v>
      </c>
      <c r="C25" s="77">
        <v>773194.52</v>
      </c>
      <c r="D25" s="77"/>
      <c r="E25" s="77"/>
      <c r="F25" s="77"/>
      <c r="G25" s="77"/>
      <c r="H25" s="77"/>
      <c r="I25" s="77"/>
      <c r="J25" s="77">
        <f t="shared" ref="J25:J36" si="6">C25+D25-E25+F25-G25+H25-I25</f>
        <v>773194.52</v>
      </c>
      <c r="K25" s="77">
        <v>358489.72</v>
      </c>
      <c r="L25" s="77">
        <f t="shared" ref="L25:L88" si="7">J25-K25</f>
        <v>414704.80000000005</v>
      </c>
      <c r="M25" s="78">
        <f t="shared" ref="M25:M36" si="8">K25/$K$123</f>
        <v>0.13494575283028412</v>
      </c>
    </row>
    <row r="26" spans="1:13" s="65" customFormat="1" ht="17.100000000000001" customHeight="1" x14ac:dyDescent="0.2">
      <c r="A26" s="88" t="s">
        <v>37</v>
      </c>
      <c r="B26" s="72" t="s">
        <v>107</v>
      </c>
      <c r="C26" s="77">
        <v>4500</v>
      </c>
      <c r="D26" s="77"/>
      <c r="E26" s="77"/>
      <c r="F26" s="77"/>
      <c r="G26" s="77"/>
      <c r="H26" s="77"/>
      <c r="I26" s="77"/>
      <c r="J26" s="77">
        <f t="shared" si="6"/>
        <v>4500</v>
      </c>
      <c r="K26" s="77">
        <v>2250</v>
      </c>
      <c r="L26" s="77">
        <f t="shared" si="7"/>
        <v>2250</v>
      </c>
      <c r="M26" s="78">
        <f t="shared" si="8"/>
        <v>8.4696415804653849E-4</v>
      </c>
    </row>
    <row r="27" spans="1:13" s="65" customFormat="1" ht="17.100000000000001" customHeight="1" x14ac:dyDescent="0.2">
      <c r="A27" s="88" t="s">
        <v>38</v>
      </c>
      <c r="B27" s="72" t="s">
        <v>108</v>
      </c>
      <c r="C27" s="77">
        <v>140850</v>
      </c>
      <c r="D27" s="77"/>
      <c r="E27" s="77"/>
      <c r="F27" s="77"/>
      <c r="G27" s="77"/>
      <c r="H27" s="77">
        <v>20000</v>
      </c>
      <c r="I27" s="77"/>
      <c r="J27" s="77">
        <f t="shared" si="6"/>
        <v>160850</v>
      </c>
      <c r="K27" s="77">
        <v>51000</v>
      </c>
      <c r="L27" s="77">
        <f t="shared" si="7"/>
        <v>109850</v>
      </c>
      <c r="M27" s="78">
        <f t="shared" si="8"/>
        <v>1.9197854249054871E-2</v>
      </c>
    </row>
    <row r="28" spans="1:13" s="65" customFormat="1" ht="17.100000000000001" customHeight="1" x14ac:dyDescent="0.2">
      <c r="A28" s="131" t="s">
        <v>281</v>
      </c>
      <c r="B28" s="72" t="s">
        <v>282</v>
      </c>
      <c r="C28" s="77">
        <v>0</v>
      </c>
      <c r="D28" s="77"/>
      <c r="E28" s="77"/>
      <c r="F28" s="77">
        <v>79750</v>
      </c>
      <c r="G28" s="77"/>
      <c r="H28" s="77"/>
      <c r="I28" s="77"/>
      <c r="J28" s="77">
        <f t="shared" si="6"/>
        <v>79750</v>
      </c>
      <c r="K28" s="77">
        <v>3833.33</v>
      </c>
      <c r="L28" s="77">
        <f t="shared" si="7"/>
        <v>75916.67</v>
      </c>
      <c r="M28" s="78">
        <f t="shared" si="8"/>
        <v>1.442974718206461E-3</v>
      </c>
    </row>
    <row r="29" spans="1:13" s="65" customFormat="1" ht="17.100000000000001" customHeight="1" x14ac:dyDescent="0.2">
      <c r="A29" s="88" t="s">
        <v>40</v>
      </c>
      <c r="B29" s="72" t="s">
        <v>283</v>
      </c>
      <c r="C29" s="77">
        <v>0</v>
      </c>
      <c r="D29" s="77"/>
      <c r="E29" s="77"/>
      <c r="F29" s="77">
        <v>3250</v>
      </c>
      <c r="G29" s="77"/>
      <c r="H29" s="77"/>
      <c r="I29" s="77"/>
      <c r="J29" s="77">
        <f t="shared" si="6"/>
        <v>3250</v>
      </c>
      <c r="K29" s="77">
        <v>191.67</v>
      </c>
      <c r="L29" s="77">
        <f t="shared" si="7"/>
        <v>3058.33</v>
      </c>
      <c r="M29" s="78">
        <f t="shared" si="8"/>
        <v>7.215005341012446E-5</v>
      </c>
    </row>
    <row r="30" spans="1:13" s="65" customFormat="1" ht="17.100000000000001" customHeight="1" x14ac:dyDescent="0.2">
      <c r="A30" s="88" t="s">
        <v>41</v>
      </c>
      <c r="B30" s="72" t="s">
        <v>110</v>
      </c>
      <c r="C30" s="77">
        <v>15400</v>
      </c>
      <c r="D30" s="77"/>
      <c r="E30" s="77"/>
      <c r="F30" s="77"/>
      <c r="G30" s="77"/>
      <c r="H30" s="77"/>
      <c r="I30" s="77"/>
      <c r="J30" s="77">
        <f t="shared" si="6"/>
        <v>15400</v>
      </c>
      <c r="K30" s="77">
        <v>13852.64</v>
      </c>
      <c r="L30" s="77">
        <f t="shared" si="7"/>
        <v>1547.3600000000006</v>
      </c>
      <c r="M30" s="78">
        <f t="shared" si="8"/>
        <v>5.2145286996985781E-3</v>
      </c>
    </row>
    <row r="31" spans="1:13" s="65" customFormat="1" ht="17.100000000000001" customHeight="1" x14ac:dyDescent="0.2">
      <c r="A31" s="88" t="s">
        <v>42</v>
      </c>
      <c r="B31" s="72" t="s">
        <v>111</v>
      </c>
      <c r="C31" s="77">
        <v>42629.35</v>
      </c>
      <c r="D31" s="77"/>
      <c r="E31" s="77"/>
      <c r="F31" s="77"/>
      <c r="G31" s="77"/>
      <c r="H31" s="77">
        <v>25000</v>
      </c>
      <c r="I31" s="77"/>
      <c r="J31" s="77">
        <f t="shared" si="6"/>
        <v>67629.350000000006</v>
      </c>
      <c r="K31" s="77">
        <v>18945.699999999997</v>
      </c>
      <c r="L31" s="77">
        <f t="shared" si="7"/>
        <v>48683.650000000009</v>
      </c>
      <c r="M31" s="78">
        <f t="shared" si="8"/>
        <v>7.1317017107121339E-3</v>
      </c>
    </row>
    <row r="32" spans="1:13" s="65" customFormat="1" ht="17.100000000000001" customHeight="1" x14ac:dyDescent="0.2">
      <c r="A32" s="88" t="s">
        <v>43</v>
      </c>
      <c r="B32" s="72" t="s">
        <v>234</v>
      </c>
      <c r="C32" s="77">
        <v>89741</v>
      </c>
      <c r="D32" s="77"/>
      <c r="E32" s="77"/>
      <c r="F32" s="77"/>
      <c r="G32" s="77"/>
      <c r="H32" s="77">
        <v>3500</v>
      </c>
      <c r="I32" s="77"/>
      <c r="J32" s="77">
        <f t="shared" si="6"/>
        <v>93241</v>
      </c>
      <c r="K32" s="77">
        <v>33062.44</v>
      </c>
      <c r="L32" s="77">
        <f t="shared" si="7"/>
        <v>60178.559999999998</v>
      </c>
      <c r="M32" s="78">
        <f t="shared" si="8"/>
        <v>1.2445645181139643E-2</v>
      </c>
    </row>
    <row r="33" spans="1:15" ht="17.100000000000001" customHeight="1" x14ac:dyDescent="0.2">
      <c r="A33" s="88" t="s">
        <v>44</v>
      </c>
      <c r="B33" s="72" t="s">
        <v>235</v>
      </c>
      <c r="C33" s="77">
        <v>7478.416666666667</v>
      </c>
      <c r="D33" s="77"/>
      <c r="E33" s="77"/>
      <c r="F33" s="77"/>
      <c r="G33" s="77"/>
      <c r="H33" s="77">
        <v>2000</v>
      </c>
      <c r="I33" s="77"/>
      <c r="J33" s="77">
        <f t="shared" si="6"/>
        <v>9478.4166666666679</v>
      </c>
      <c r="K33" s="77">
        <v>3098.63</v>
      </c>
      <c r="L33" s="77">
        <f t="shared" si="7"/>
        <v>6379.7866666666678</v>
      </c>
      <c r="M33" s="78">
        <f t="shared" si="8"/>
        <v>1.1664126884656648E-3</v>
      </c>
      <c r="N33" s="65"/>
      <c r="O33" s="65"/>
    </row>
    <row r="34" spans="1:15" ht="17.100000000000001" customHeight="1" x14ac:dyDescent="0.2">
      <c r="A34" s="88" t="s">
        <v>45</v>
      </c>
      <c r="B34" s="72" t="s">
        <v>46</v>
      </c>
      <c r="C34" s="77">
        <v>64432.876666666663</v>
      </c>
      <c r="D34" s="77"/>
      <c r="E34" s="77"/>
      <c r="F34" s="77"/>
      <c r="G34" s="77"/>
      <c r="H34" s="77">
        <v>12000</v>
      </c>
      <c r="I34" s="77"/>
      <c r="J34" s="77">
        <f t="shared" si="6"/>
        <v>76432.876666666663</v>
      </c>
      <c r="K34" s="77">
        <v>0</v>
      </c>
      <c r="L34" s="77">
        <f t="shared" si="7"/>
        <v>76432.876666666663</v>
      </c>
      <c r="M34" s="78">
        <f t="shared" si="8"/>
        <v>0</v>
      </c>
      <c r="N34" s="65"/>
      <c r="O34" s="65"/>
    </row>
    <row r="35" spans="1:15" ht="17.100000000000001" customHeight="1" x14ac:dyDescent="0.2">
      <c r="A35" s="88" t="s">
        <v>47</v>
      </c>
      <c r="B35" s="72" t="s">
        <v>114</v>
      </c>
      <c r="C35" s="77">
        <v>64432.876666666663</v>
      </c>
      <c r="D35" s="77"/>
      <c r="E35" s="77"/>
      <c r="F35" s="77"/>
      <c r="G35" s="77"/>
      <c r="H35" s="77">
        <v>6000</v>
      </c>
      <c r="I35" s="77"/>
      <c r="J35" s="77">
        <f t="shared" si="6"/>
        <v>70432.876666666663</v>
      </c>
      <c r="K35" s="77">
        <v>0</v>
      </c>
      <c r="L35" s="77">
        <f t="shared" si="7"/>
        <v>70432.876666666663</v>
      </c>
      <c r="M35" s="78">
        <f t="shared" si="8"/>
        <v>0</v>
      </c>
      <c r="N35" s="65"/>
      <c r="O35" s="65"/>
    </row>
    <row r="36" spans="1:15" ht="17.100000000000001" customHeight="1" x14ac:dyDescent="0.2">
      <c r="A36" s="88" t="s">
        <v>48</v>
      </c>
      <c r="B36" s="72" t="s">
        <v>49</v>
      </c>
      <c r="C36" s="77">
        <v>4000</v>
      </c>
      <c r="D36" s="77"/>
      <c r="E36" s="77"/>
      <c r="F36" s="77"/>
      <c r="G36" s="77"/>
      <c r="H36" s="77">
        <v>5500</v>
      </c>
      <c r="I36" s="77"/>
      <c r="J36" s="77">
        <f t="shared" si="6"/>
        <v>9500</v>
      </c>
      <c r="K36" s="77">
        <v>0</v>
      </c>
      <c r="L36" s="77">
        <f t="shared" si="7"/>
        <v>9500</v>
      </c>
      <c r="M36" s="78">
        <f t="shared" si="8"/>
        <v>0</v>
      </c>
      <c r="N36" s="65"/>
      <c r="O36" s="65"/>
    </row>
    <row r="37" spans="1:15" ht="17.100000000000001" customHeight="1" x14ac:dyDescent="0.2">
      <c r="A37" s="88"/>
      <c r="B37" s="7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65"/>
      <c r="O37" s="65"/>
    </row>
    <row r="38" spans="1:15" ht="17.100000000000001" customHeight="1" x14ac:dyDescent="0.25">
      <c r="A38" s="86">
        <v>1</v>
      </c>
      <c r="B38" s="87" t="s">
        <v>50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65"/>
      <c r="O38" s="65"/>
    </row>
    <row r="39" spans="1:15" ht="17.100000000000001" customHeight="1" x14ac:dyDescent="0.2">
      <c r="A39" s="88" t="s">
        <v>115</v>
      </c>
      <c r="B39" s="72" t="s">
        <v>51</v>
      </c>
      <c r="C39" s="77">
        <v>11723.320000000002</v>
      </c>
      <c r="D39" s="77"/>
      <c r="E39" s="77"/>
      <c r="F39" s="77"/>
      <c r="G39" s="77"/>
      <c r="H39" s="77"/>
      <c r="I39" s="77"/>
      <c r="J39" s="77">
        <f t="shared" ref="J39:J104" si="9">C39+D39-E39+F39-G39+H39-I39</f>
        <v>11723.320000000002</v>
      </c>
      <c r="K39" s="77">
        <v>3563.0299999999997</v>
      </c>
      <c r="L39" s="77">
        <f t="shared" si="7"/>
        <v>8160.2900000000018</v>
      </c>
      <c r="M39" s="78">
        <f t="shared" ref="M39:M72" si="10">K39/$K$123</f>
        <v>1.3412260906864701E-3</v>
      </c>
      <c r="N39" s="65"/>
      <c r="O39" s="65"/>
    </row>
    <row r="40" spans="1:15" ht="17.100000000000001" customHeight="1" x14ac:dyDescent="0.2">
      <c r="A40" s="88" t="s">
        <v>116</v>
      </c>
      <c r="B40" s="72" t="s">
        <v>52</v>
      </c>
      <c r="C40" s="77">
        <v>24780</v>
      </c>
      <c r="D40" s="77"/>
      <c r="E40" s="77"/>
      <c r="F40" s="77"/>
      <c r="G40" s="77"/>
      <c r="H40" s="77"/>
      <c r="I40" s="77"/>
      <c r="J40" s="77">
        <f t="shared" si="9"/>
        <v>24780</v>
      </c>
      <c r="K40" s="77">
        <v>10934.5</v>
      </c>
      <c r="L40" s="77">
        <f t="shared" si="7"/>
        <v>13845.5</v>
      </c>
      <c r="M40" s="78">
        <f t="shared" si="10"/>
        <v>4.1160575938488332E-3</v>
      </c>
      <c r="N40" s="65"/>
      <c r="O40" s="65"/>
    </row>
    <row r="41" spans="1:15" ht="17.100000000000001" customHeight="1" x14ac:dyDescent="0.2">
      <c r="A41" s="88" t="s">
        <v>117</v>
      </c>
      <c r="B41" s="72" t="s">
        <v>53</v>
      </c>
      <c r="C41" s="77">
        <v>2500</v>
      </c>
      <c r="D41" s="77"/>
      <c r="E41" s="77"/>
      <c r="F41" s="77"/>
      <c r="G41" s="77"/>
      <c r="H41" s="77"/>
      <c r="I41" s="77"/>
      <c r="J41" s="77">
        <f t="shared" si="9"/>
        <v>2500</v>
      </c>
      <c r="K41" s="77">
        <v>226</v>
      </c>
      <c r="L41" s="77">
        <f t="shared" si="7"/>
        <v>2274</v>
      </c>
      <c r="M41" s="78">
        <f t="shared" si="10"/>
        <v>8.5072844319341196E-5</v>
      </c>
      <c r="N41" s="65"/>
      <c r="O41" s="65"/>
    </row>
    <row r="42" spans="1:15" ht="17.100000000000001" customHeight="1" x14ac:dyDescent="0.2">
      <c r="A42" s="88" t="s">
        <v>118</v>
      </c>
      <c r="B42" s="72" t="s">
        <v>54</v>
      </c>
      <c r="C42" s="77">
        <v>4464</v>
      </c>
      <c r="D42" s="77">
        <v>1200</v>
      </c>
      <c r="E42" s="77"/>
      <c r="F42" s="77">
        <v>4500</v>
      </c>
      <c r="G42" s="77"/>
      <c r="H42" s="77"/>
      <c r="I42" s="77"/>
      <c r="J42" s="77">
        <f t="shared" si="9"/>
        <v>10164</v>
      </c>
      <c r="K42" s="77">
        <v>7319.04</v>
      </c>
      <c r="L42" s="77">
        <f t="shared" si="7"/>
        <v>2844.96</v>
      </c>
      <c r="M42" s="78">
        <f t="shared" si="10"/>
        <v>2.7550953561373053E-3</v>
      </c>
      <c r="N42" s="65"/>
      <c r="O42" s="65"/>
    </row>
    <row r="43" spans="1:15" ht="17.100000000000001" customHeight="1" x14ac:dyDescent="0.2">
      <c r="A43" s="88" t="s">
        <v>119</v>
      </c>
      <c r="B43" s="72" t="s">
        <v>120</v>
      </c>
      <c r="C43" s="77">
        <v>12200</v>
      </c>
      <c r="D43" s="77"/>
      <c r="E43" s="77"/>
      <c r="F43" s="77">
        <v>3500</v>
      </c>
      <c r="G43" s="77"/>
      <c r="H43" s="77"/>
      <c r="I43" s="77"/>
      <c r="J43" s="77">
        <f t="shared" si="9"/>
        <v>15700</v>
      </c>
      <c r="K43" s="77">
        <v>11960.5</v>
      </c>
      <c r="L43" s="77">
        <f t="shared" si="7"/>
        <v>3739.5</v>
      </c>
      <c r="M43" s="78">
        <f t="shared" si="10"/>
        <v>4.5022732499180552E-3</v>
      </c>
      <c r="N43" s="65"/>
      <c r="O43" s="65"/>
    </row>
    <row r="44" spans="1:15" ht="17.100000000000001" customHeight="1" x14ac:dyDescent="0.2">
      <c r="A44" s="88" t="s">
        <v>121</v>
      </c>
      <c r="B44" s="72" t="s">
        <v>122</v>
      </c>
      <c r="C44" s="77">
        <v>1218400</v>
      </c>
      <c r="D44" s="77">
        <v>64062.78</v>
      </c>
      <c r="E44" s="77"/>
      <c r="F44" s="77"/>
      <c r="G44" s="77"/>
      <c r="H44" s="77">
        <v>77500</v>
      </c>
      <c r="I44" s="77"/>
      <c r="J44" s="77">
        <f t="shared" si="9"/>
        <v>1359962.78</v>
      </c>
      <c r="K44" s="77">
        <v>571831.5</v>
      </c>
      <c r="L44" s="77">
        <f t="shared" si="7"/>
        <v>788131.28</v>
      </c>
      <c r="M44" s="78">
        <f t="shared" si="10"/>
        <v>0.21525368219643964</v>
      </c>
      <c r="N44" s="65"/>
      <c r="O44" s="65"/>
    </row>
    <row r="45" spans="1:15" ht="17.100000000000001" customHeight="1" x14ac:dyDescent="0.2">
      <c r="A45" s="88" t="s">
        <v>123</v>
      </c>
      <c r="B45" s="72" t="s">
        <v>124</v>
      </c>
      <c r="C45" s="77">
        <v>0</v>
      </c>
      <c r="D45" s="77"/>
      <c r="E45" s="77"/>
      <c r="F45" s="77"/>
      <c r="G45" s="77"/>
      <c r="H45" s="77"/>
      <c r="I45" s="77"/>
      <c r="J45" s="77">
        <f t="shared" si="9"/>
        <v>0</v>
      </c>
      <c r="K45" s="77">
        <v>0</v>
      </c>
      <c r="L45" s="77">
        <f t="shared" si="7"/>
        <v>0</v>
      </c>
      <c r="M45" s="78">
        <f t="shared" si="10"/>
        <v>0</v>
      </c>
      <c r="N45" s="65"/>
      <c r="O45" s="65"/>
    </row>
    <row r="46" spans="1:15" ht="17.100000000000001" customHeight="1" x14ac:dyDescent="0.2">
      <c r="A46" s="88" t="s">
        <v>125</v>
      </c>
      <c r="B46" s="72" t="s">
        <v>126</v>
      </c>
      <c r="C46" s="77">
        <v>0</v>
      </c>
      <c r="D46" s="77"/>
      <c r="E46" s="77"/>
      <c r="F46" s="77"/>
      <c r="G46" s="77"/>
      <c r="H46" s="77"/>
      <c r="I46" s="77"/>
      <c r="J46" s="77">
        <f t="shared" si="9"/>
        <v>0</v>
      </c>
      <c r="K46" s="77">
        <v>0</v>
      </c>
      <c r="L46" s="77">
        <f t="shared" si="7"/>
        <v>0</v>
      </c>
      <c r="M46" s="78">
        <f t="shared" si="10"/>
        <v>0</v>
      </c>
      <c r="N46" s="65"/>
      <c r="O46" s="65"/>
    </row>
    <row r="47" spans="1:15" ht="17.100000000000001" customHeight="1" x14ac:dyDescent="0.2">
      <c r="A47" s="88" t="s">
        <v>127</v>
      </c>
      <c r="B47" s="72" t="s">
        <v>55</v>
      </c>
      <c r="C47" s="77">
        <v>104664</v>
      </c>
      <c r="D47" s="77">
        <v>13644</v>
      </c>
      <c r="E47" s="77"/>
      <c r="F47" s="77"/>
      <c r="G47" s="77"/>
      <c r="H47" s="77"/>
      <c r="I47" s="77"/>
      <c r="J47" s="77">
        <f t="shared" si="9"/>
        <v>118308</v>
      </c>
      <c r="K47" s="77">
        <v>15110.630000000001</v>
      </c>
      <c r="L47" s="77">
        <f t="shared" si="7"/>
        <v>103197.37</v>
      </c>
      <c r="M47" s="78">
        <f t="shared" si="10"/>
        <v>5.6880720068901184E-3</v>
      </c>
      <c r="N47" s="65"/>
      <c r="O47" s="65"/>
    </row>
    <row r="48" spans="1:15" ht="17.100000000000001" customHeight="1" x14ac:dyDescent="0.2">
      <c r="A48" s="88" t="s">
        <v>128</v>
      </c>
      <c r="B48" s="72" t="s">
        <v>237</v>
      </c>
      <c r="C48" s="77">
        <v>459374.84</v>
      </c>
      <c r="D48" s="77">
        <v>11548.31</v>
      </c>
      <c r="E48" s="77"/>
      <c r="F48" s="77"/>
      <c r="G48" s="77"/>
      <c r="H48" s="77"/>
      <c r="I48" s="77"/>
      <c r="J48" s="77">
        <f t="shared" si="9"/>
        <v>470923.15</v>
      </c>
      <c r="K48" s="77">
        <v>81692.51999999999</v>
      </c>
      <c r="L48" s="77">
        <f t="shared" si="7"/>
        <v>389230.63</v>
      </c>
      <c r="M48" s="78">
        <f t="shared" si="10"/>
        <v>3.0751393964666664E-2</v>
      </c>
      <c r="N48" s="65"/>
      <c r="O48" s="65"/>
    </row>
    <row r="49" spans="1:15" ht="17.100000000000001" customHeight="1" x14ac:dyDescent="0.2">
      <c r="A49" s="88" t="s">
        <v>130</v>
      </c>
      <c r="B49" s="72" t="s">
        <v>56</v>
      </c>
      <c r="C49" s="77">
        <v>9000</v>
      </c>
      <c r="D49" s="77"/>
      <c r="E49" s="77"/>
      <c r="F49" s="77"/>
      <c r="G49" s="77"/>
      <c r="H49" s="77">
        <v>7500</v>
      </c>
      <c r="I49" s="77"/>
      <c r="J49" s="77">
        <f t="shared" si="9"/>
        <v>16500</v>
      </c>
      <c r="K49" s="77">
        <v>5800</v>
      </c>
      <c r="L49" s="77">
        <f t="shared" si="7"/>
        <v>10700</v>
      </c>
      <c r="M49" s="78">
        <f t="shared" si="10"/>
        <v>2.1832853851866327E-3</v>
      </c>
      <c r="N49" s="65"/>
      <c r="O49" s="65"/>
    </row>
    <row r="50" spans="1:15" ht="17.100000000000001" customHeight="1" x14ac:dyDescent="0.2">
      <c r="A50" s="88" t="s">
        <v>131</v>
      </c>
      <c r="B50" s="72" t="s">
        <v>57</v>
      </c>
      <c r="C50" s="77">
        <v>25000</v>
      </c>
      <c r="D50" s="77"/>
      <c r="E50" s="77"/>
      <c r="F50" s="77">
        <v>27000</v>
      </c>
      <c r="G50" s="77"/>
      <c r="H50" s="77">
        <v>35000</v>
      </c>
      <c r="I50" s="77"/>
      <c r="J50" s="77">
        <f t="shared" si="9"/>
        <v>87000</v>
      </c>
      <c r="K50" s="77">
        <v>45999.08</v>
      </c>
      <c r="L50" s="77">
        <f t="shared" si="7"/>
        <v>41000.92</v>
      </c>
      <c r="M50" s="78">
        <f t="shared" si="10"/>
        <v>1.7315365361384609E-2</v>
      </c>
      <c r="N50" s="65"/>
      <c r="O50" s="65"/>
    </row>
    <row r="51" spans="1:15" ht="17.100000000000001" customHeight="1" x14ac:dyDescent="0.2">
      <c r="A51" s="88" t="s">
        <v>132</v>
      </c>
      <c r="B51" s="72" t="s">
        <v>133</v>
      </c>
      <c r="C51" s="77">
        <v>70560</v>
      </c>
      <c r="D51" s="77"/>
      <c r="E51" s="77"/>
      <c r="F51" s="77"/>
      <c r="G51" s="77"/>
      <c r="H51" s="77"/>
      <c r="I51" s="77"/>
      <c r="J51" s="77">
        <f t="shared" si="9"/>
        <v>70560</v>
      </c>
      <c r="K51" s="77">
        <v>35280</v>
      </c>
      <c r="L51" s="77">
        <f t="shared" si="7"/>
        <v>35280</v>
      </c>
      <c r="M51" s="78">
        <f t="shared" si="10"/>
        <v>1.3280397998169723E-2</v>
      </c>
      <c r="N51" s="65"/>
      <c r="O51" s="65"/>
    </row>
    <row r="52" spans="1:15" ht="17.100000000000001" customHeight="1" x14ac:dyDescent="0.2">
      <c r="A52" s="88" t="s">
        <v>134</v>
      </c>
      <c r="B52" s="72" t="s">
        <v>58</v>
      </c>
      <c r="C52" s="77">
        <v>35200</v>
      </c>
      <c r="D52" s="77"/>
      <c r="E52" s="77"/>
      <c r="F52" s="77"/>
      <c r="G52" s="77"/>
      <c r="H52" s="77"/>
      <c r="I52" s="77"/>
      <c r="J52" s="77">
        <f t="shared" si="9"/>
        <v>35200</v>
      </c>
      <c r="K52" s="77"/>
      <c r="L52" s="77">
        <f t="shared" si="7"/>
        <v>35200</v>
      </c>
      <c r="M52" s="78">
        <f t="shared" si="10"/>
        <v>0</v>
      </c>
      <c r="N52" s="65"/>
      <c r="O52" s="65"/>
    </row>
    <row r="53" spans="1:15" ht="17.100000000000001" customHeight="1" x14ac:dyDescent="0.2">
      <c r="A53" s="88" t="s">
        <v>135</v>
      </c>
      <c r="B53" s="72" t="s">
        <v>59</v>
      </c>
      <c r="C53" s="77">
        <v>6550</v>
      </c>
      <c r="D53" s="77"/>
      <c r="E53" s="77"/>
      <c r="F53" s="77"/>
      <c r="G53" s="77"/>
      <c r="H53" s="77"/>
      <c r="I53" s="77"/>
      <c r="J53" s="77">
        <f t="shared" si="9"/>
        <v>6550</v>
      </c>
      <c r="K53" s="77">
        <v>3335</v>
      </c>
      <c r="L53" s="77">
        <f t="shared" si="7"/>
        <v>3215</v>
      </c>
      <c r="M53" s="78">
        <f t="shared" si="10"/>
        <v>1.2553890964823137E-3</v>
      </c>
      <c r="N53" s="65"/>
      <c r="O53" s="65"/>
    </row>
    <row r="54" spans="1:15" ht="17.100000000000001" customHeight="1" x14ac:dyDescent="0.2">
      <c r="A54" s="88" t="s">
        <v>136</v>
      </c>
      <c r="B54" s="72" t="s">
        <v>137</v>
      </c>
      <c r="C54" s="77">
        <v>2000</v>
      </c>
      <c r="D54" s="77"/>
      <c r="E54" s="77"/>
      <c r="F54" s="77"/>
      <c r="G54" s="77"/>
      <c r="H54" s="77"/>
      <c r="I54" s="77"/>
      <c r="J54" s="77">
        <f t="shared" si="9"/>
        <v>2000</v>
      </c>
      <c r="K54" s="77">
        <v>630</v>
      </c>
      <c r="L54" s="77">
        <f t="shared" si="7"/>
        <v>1370</v>
      </c>
      <c r="M54" s="78">
        <f t="shared" si="10"/>
        <v>2.3714996425303078E-4</v>
      </c>
      <c r="N54" s="65"/>
      <c r="O54" s="65"/>
    </row>
    <row r="55" spans="1:15" ht="17.100000000000001" customHeight="1" x14ac:dyDescent="0.2">
      <c r="A55" s="88" t="s">
        <v>138</v>
      </c>
      <c r="B55" s="72" t="s">
        <v>139</v>
      </c>
      <c r="C55" s="77">
        <v>10000</v>
      </c>
      <c r="D55" s="77"/>
      <c r="E55" s="77"/>
      <c r="F55" s="77"/>
      <c r="G55" s="77"/>
      <c r="H55" s="77"/>
      <c r="I55" s="77"/>
      <c r="J55" s="77">
        <f t="shared" si="9"/>
        <v>10000</v>
      </c>
      <c r="K55" s="77">
        <v>0</v>
      </c>
      <c r="L55" s="77">
        <f t="shared" si="7"/>
        <v>10000</v>
      </c>
      <c r="M55" s="78">
        <f t="shared" si="10"/>
        <v>0</v>
      </c>
      <c r="N55" s="65"/>
      <c r="O55" s="65"/>
    </row>
    <row r="56" spans="1:15" ht="17.100000000000001" customHeight="1" x14ac:dyDescent="0.2">
      <c r="A56" s="88" t="s">
        <v>140</v>
      </c>
      <c r="B56" s="72" t="s">
        <v>141</v>
      </c>
      <c r="C56" s="77">
        <v>6900</v>
      </c>
      <c r="D56" s="77"/>
      <c r="E56" s="77"/>
      <c r="F56" s="77">
        <v>850</v>
      </c>
      <c r="G56" s="77"/>
      <c r="H56" s="77"/>
      <c r="I56" s="77"/>
      <c r="J56" s="77">
        <f t="shared" si="9"/>
        <v>7750</v>
      </c>
      <c r="K56" s="77">
        <v>749.71</v>
      </c>
      <c r="L56" s="77">
        <f t="shared" si="7"/>
        <v>7000.29</v>
      </c>
      <c r="M56" s="78">
        <f t="shared" si="10"/>
        <v>2.8221222174625352E-4</v>
      </c>
      <c r="N56" s="65"/>
      <c r="O56" s="65"/>
    </row>
    <row r="57" spans="1:15" ht="17.100000000000001" customHeight="1" x14ac:dyDescent="0.2">
      <c r="A57" s="88" t="s">
        <v>142</v>
      </c>
      <c r="B57" s="72" t="s">
        <v>143</v>
      </c>
      <c r="C57" s="77">
        <v>3000</v>
      </c>
      <c r="D57" s="77"/>
      <c r="E57" s="77"/>
      <c r="F57" s="77"/>
      <c r="G57" s="77"/>
      <c r="H57" s="77">
        <v>2500</v>
      </c>
      <c r="I57" s="77"/>
      <c r="J57" s="77">
        <f t="shared" si="9"/>
        <v>5500</v>
      </c>
      <c r="K57" s="77">
        <v>2600</v>
      </c>
      <c r="L57" s="77">
        <f t="shared" si="7"/>
        <v>2900</v>
      </c>
      <c r="M57" s="78">
        <f t="shared" si="10"/>
        <v>9.7871413818711116E-4</v>
      </c>
      <c r="N57" s="65"/>
      <c r="O57" s="65"/>
    </row>
    <row r="58" spans="1:15" ht="17.100000000000001" customHeight="1" x14ac:dyDescent="0.2">
      <c r="A58" s="88" t="s">
        <v>144</v>
      </c>
      <c r="B58" s="72" t="s">
        <v>145</v>
      </c>
      <c r="C58" s="77">
        <v>5000</v>
      </c>
      <c r="D58" s="77">
        <v>250</v>
      </c>
      <c r="E58" s="77"/>
      <c r="F58" s="77">
        <v>12285</v>
      </c>
      <c r="G58" s="77"/>
      <c r="H58" s="77">
        <v>8500</v>
      </c>
      <c r="I58" s="77"/>
      <c r="J58" s="77">
        <f t="shared" si="9"/>
        <v>26035</v>
      </c>
      <c r="K58" s="77">
        <v>11200</v>
      </c>
      <c r="L58" s="77">
        <f t="shared" si="7"/>
        <v>14835</v>
      </c>
      <c r="M58" s="78">
        <f t="shared" si="10"/>
        <v>4.2159993644983245E-3</v>
      </c>
      <c r="N58" s="65"/>
      <c r="O58" s="65"/>
    </row>
    <row r="59" spans="1:15" ht="17.100000000000001" customHeight="1" x14ac:dyDescent="0.2">
      <c r="A59" s="88" t="s">
        <v>146</v>
      </c>
      <c r="B59" s="72" t="s">
        <v>147</v>
      </c>
      <c r="C59" s="77">
        <v>180000</v>
      </c>
      <c r="D59" s="77"/>
      <c r="E59" s="77"/>
      <c r="F59" s="77"/>
      <c r="G59" s="77"/>
      <c r="H59" s="77"/>
      <c r="I59" s="77"/>
      <c r="J59" s="77">
        <f t="shared" si="9"/>
        <v>180000</v>
      </c>
      <c r="K59" s="77">
        <v>84000</v>
      </c>
      <c r="L59" s="77">
        <f t="shared" si="7"/>
        <v>96000</v>
      </c>
      <c r="M59" s="78">
        <f t="shared" si="10"/>
        <v>3.1619995233737437E-2</v>
      </c>
      <c r="N59" s="65"/>
      <c r="O59" s="65"/>
    </row>
    <row r="60" spans="1:15" ht="17.100000000000001" customHeight="1" x14ac:dyDescent="0.2">
      <c r="A60" s="88" t="s">
        <v>148</v>
      </c>
      <c r="B60" s="72" t="s">
        <v>149</v>
      </c>
      <c r="C60" s="77">
        <v>0</v>
      </c>
      <c r="D60" s="77"/>
      <c r="E60" s="77"/>
      <c r="F60" s="77"/>
      <c r="G60" s="77"/>
      <c r="H60" s="77"/>
      <c r="I60" s="77"/>
      <c r="J60" s="77">
        <f t="shared" si="9"/>
        <v>0</v>
      </c>
      <c r="K60" s="77">
        <v>0</v>
      </c>
      <c r="L60" s="77">
        <f t="shared" si="7"/>
        <v>0</v>
      </c>
      <c r="M60" s="78">
        <f t="shared" si="10"/>
        <v>0</v>
      </c>
      <c r="N60" s="65"/>
      <c r="O60" s="65"/>
    </row>
    <row r="61" spans="1:15" ht="17.100000000000001" customHeight="1" x14ac:dyDescent="0.2">
      <c r="A61" s="88" t="s">
        <v>150</v>
      </c>
      <c r="B61" s="72" t="s">
        <v>151</v>
      </c>
      <c r="C61" s="77">
        <v>40600</v>
      </c>
      <c r="D61" s="77"/>
      <c r="E61" s="77">
        <v>16600</v>
      </c>
      <c r="F61" s="77"/>
      <c r="G61" s="77"/>
      <c r="H61" s="77"/>
      <c r="I61" s="77"/>
      <c r="J61" s="77">
        <f t="shared" si="9"/>
        <v>24000</v>
      </c>
      <c r="K61" s="77">
        <v>9775</v>
      </c>
      <c r="L61" s="77">
        <f t="shared" si="7"/>
        <v>14225</v>
      </c>
      <c r="M61" s="78">
        <f t="shared" si="10"/>
        <v>3.6795887310688506E-3</v>
      </c>
      <c r="N61" s="65"/>
      <c r="O61" s="65"/>
    </row>
    <row r="62" spans="1:15" ht="17.100000000000001" customHeight="1" x14ac:dyDescent="0.2">
      <c r="A62" s="88" t="s">
        <v>152</v>
      </c>
      <c r="B62" s="72" t="s">
        <v>153</v>
      </c>
      <c r="C62" s="77">
        <v>60000</v>
      </c>
      <c r="D62" s="77"/>
      <c r="E62" s="77">
        <v>6000</v>
      </c>
      <c r="F62" s="77"/>
      <c r="G62" s="77"/>
      <c r="H62" s="77"/>
      <c r="I62" s="77"/>
      <c r="J62" s="77">
        <f t="shared" si="9"/>
        <v>54000</v>
      </c>
      <c r="K62" s="77">
        <v>27000</v>
      </c>
      <c r="L62" s="77">
        <f t="shared" si="7"/>
        <v>27000</v>
      </c>
      <c r="M62" s="78">
        <f t="shared" si="10"/>
        <v>1.0163569896558462E-2</v>
      </c>
      <c r="N62" s="65"/>
      <c r="O62" s="65"/>
    </row>
    <row r="63" spans="1:15" ht="17.100000000000001" customHeight="1" x14ac:dyDescent="0.2">
      <c r="A63" s="88" t="s">
        <v>154</v>
      </c>
      <c r="B63" s="72" t="s">
        <v>60</v>
      </c>
      <c r="C63" s="77">
        <v>11300</v>
      </c>
      <c r="D63" s="77"/>
      <c r="E63" s="77"/>
      <c r="F63" s="77">
        <v>10000</v>
      </c>
      <c r="G63" s="77"/>
      <c r="H63" s="77"/>
      <c r="I63" s="77"/>
      <c r="J63" s="77">
        <f t="shared" si="9"/>
        <v>21300</v>
      </c>
      <c r="K63" s="77">
        <v>4656</v>
      </c>
      <c r="L63" s="77">
        <f t="shared" si="7"/>
        <v>16644</v>
      </c>
      <c r="M63" s="78">
        <f t="shared" si="10"/>
        <v>1.7526511643843037E-3</v>
      </c>
      <c r="N63" s="65"/>
      <c r="O63" s="65"/>
    </row>
    <row r="64" spans="1:15" ht="17.100000000000001" customHeight="1" x14ac:dyDescent="0.2">
      <c r="A64" s="88" t="s">
        <v>155</v>
      </c>
      <c r="B64" s="72" t="s">
        <v>268</v>
      </c>
      <c r="C64" s="77">
        <v>15500</v>
      </c>
      <c r="D64" s="77"/>
      <c r="E64" s="77"/>
      <c r="F64" s="77">
        <v>18000</v>
      </c>
      <c r="G64" s="77"/>
      <c r="H64" s="77"/>
      <c r="I64" s="77"/>
      <c r="J64" s="77">
        <f t="shared" si="9"/>
        <v>33500</v>
      </c>
      <c r="K64" s="77">
        <v>14635</v>
      </c>
      <c r="L64" s="77">
        <f t="shared" si="7"/>
        <v>18865</v>
      </c>
      <c r="M64" s="78">
        <f t="shared" si="10"/>
        <v>5.5090313124493738E-3</v>
      </c>
      <c r="N64" s="65"/>
      <c r="O64" s="65"/>
    </row>
    <row r="65" spans="1:15" ht="17.100000000000001" customHeight="1" x14ac:dyDescent="0.2">
      <c r="A65" s="88" t="s">
        <v>157</v>
      </c>
      <c r="B65" s="72" t="s">
        <v>61</v>
      </c>
      <c r="C65" s="77">
        <v>24394.959999999995</v>
      </c>
      <c r="D65" s="77"/>
      <c r="E65" s="77">
        <v>3200</v>
      </c>
      <c r="F65" s="77">
        <v>12000</v>
      </c>
      <c r="G65" s="77"/>
      <c r="H65" s="77"/>
      <c r="I65" s="77"/>
      <c r="J65" s="77">
        <f t="shared" si="9"/>
        <v>33194.959999999992</v>
      </c>
      <c r="K65" s="77">
        <v>4400</v>
      </c>
      <c r="L65" s="77">
        <f t="shared" si="7"/>
        <v>28794.959999999992</v>
      </c>
      <c r="M65" s="78">
        <f t="shared" si="10"/>
        <v>1.656285464624342E-3</v>
      </c>
      <c r="N65" s="65"/>
      <c r="O65" s="65"/>
    </row>
    <row r="66" spans="1:15" ht="17.100000000000001" customHeight="1" x14ac:dyDescent="0.2">
      <c r="A66" s="88" t="s">
        <v>158</v>
      </c>
      <c r="B66" s="72" t="s">
        <v>62</v>
      </c>
      <c r="C66" s="77">
        <v>80000</v>
      </c>
      <c r="D66" s="77"/>
      <c r="E66" s="77"/>
      <c r="F66" s="77">
        <v>27500</v>
      </c>
      <c r="G66" s="77"/>
      <c r="H66" s="77"/>
      <c r="I66" s="77"/>
      <c r="J66" s="77">
        <f t="shared" si="9"/>
        <v>107500</v>
      </c>
      <c r="K66" s="77">
        <v>0</v>
      </c>
      <c r="L66" s="77">
        <f t="shared" si="7"/>
        <v>107500</v>
      </c>
      <c r="M66" s="78">
        <f t="shared" si="10"/>
        <v>0</v>
      </c>
      <c r="N66" s="65"/>
      <c r="O66" s="65"/>
    </row>
    <row r="67" spans="1:15" ht="17.100000000000001" customHeight="1" x14ac:dyDescent="0.2">
      <c r="A67" s="88" t="s">
        <v>159</v>
      </c>
      <c r="B67" s="72" t="s">
        <v>238</v>
      </c>
      <c r="C67" s="77">
        <v>244000</v>
      </c>
      <c r="D67" s="77"/>
      <c r="E67" s="77">
        <v>12800</v>
      </c>
      <c r="F67" s="77">
        <v>18000</v>
      </c>
      <c r="G67" s="77"/>
      <c r="H67" s="77"/>
      <c r="I67" s="77"/>
      <c r="J67" s="77">
        <f t="shared" si="9"/>
        <v>249200</v>
      </c>
      <c r="K67" s="77">
        <v>116472.03</v>
      </c>
      <c r="L67" s="77">
        <f t="shared" si="7"/>
        <v>132727.97</v>
      </c>
      <c r="M67" s="78">
        <f t="shared" si="10"/>
        <v>4.3843393255520523E-2</v>
      </c>
      <c r="N67" s="65"/>
      <c r="O67" s="65"/>
    </row>
    <row r="68" spans="1:15" ht="17.100000000000001" customHeight="1" x14ac:dyDescent="0.2">
      <c r="A68" s="88" t="s">
        <v>160</v>
      </c>
      <c r="B68" s="72" t="s">
        <v>64</v>
      </c>
      <c r="C68" s="77">
        <v>11250</v>
      </c>
      <c r="D68" s="77"/>
      <c r="E68" s="77"/>
      <c r="F68" s="77"/>
      <c r="G68" s="77"/>
      <c r="H68" s="77"/>
      <c r="I68" s="77"/>
      <c r="J68" s="77">
        <f t="shared" si="9"/>
        <v>11250</v>
      </c>
      <c r="K68" s="77">
        <v>824.38</v>
      </c>
      <c r="L68" s="77">
        <f t="shared" si="7"/>
        <v>10425.620000000001</v>
      </c>
      <c r="M68" s="78">
        <f t="shared" si="10"/>
        <v>3.1032013893795798E-4</v>
      </c>
      <c r="N68" s="65"/>
      <c r="O68" s="65"/>
    </row>
    <row r="69" spans="1:15" ht="17.100000000000001" customHeight="1" x14ac:dyDescent="0.2">
      <c r="A69" s="88" t="s">
        <v>161</v>
      </c>
      <c r="B69" s="72" t="s">
        <v>239</v>
      </c>
      <c r="C69" s="77">
        <v>5000</v>
      </c>
      <c r="D69" s="77"/>
      <c r="E69" s="77"/>
      <c r="F69" s="77"/>
      <c r="G69" s="77"/>
      <c r="H69" s="77"/>
      <c r="I69" s="77"/>
      <c r="J69" s="77">
        <f t="shared" si="9"/>
        <v>5000</v>
      </c>
      <c r="K69" s="77">
        <v>779.14</v>
      </c>
      <c r="L69" s="77">
        <f t="shared" si="7"/>
        <v>4220.8599999999997</v>
      </c>
      <c r="M69" s="78">
        <f t="shared" si="10"/>
        <v>2.9329051293350224E-4</v>
      </c>
      <c r="N69" s="65"/>
      <c r="O69" s="65"/>
    </row>
    <row r="70" spans="1:15" ht="17.100000000000001" customHeight="1" x14ac:dyDescent="0.2">
      <c r="A70" s="88" t="s">
        <v>163</v>
      </c>
      <c r="B70" s="72" t="s">
        <v>164</v>
      </c>
      <c r="C70" s="77">
        <v>5000</v>
      </c>
      <c r="D70" s="77"/>
      <c r="E70" s="77"/>
      <c r="F70" s="77">
        <v>11500</v>
      </c>
      <c r="G70" s="77"/>
      <c r="H70" s="77">
        <v>25000</v>
      </c>
      <c r="I70" s="77"/>
      <c r="J70" s="77">
        <f t="shared" si="9"/>
        <v>41500</v>
      </c>
      <c r="K70" s="77">
        <v>35983.199999999997</v>
      </c>
      <c r="L70" s="77">
        <f t="shared" si="7"/>
        <v>5516.8000000000029</v>
      </c>
      <c r="M70" s="78">
        <f t="shared" si="10"/>
        <v>1.3545102529697867E-2</v>
      </c>
      <c r="N70" s="65"/>
      <c r="O70" s="65"/>
    </row>
    <row r="71" spans="1:15" ht="17.100000000000001" customHeight="1" x14ac:dyDescent="0.2">
      <c r="A71" s="88" t="s">
        <v>165</v>
      </c>
      <c r="B71" s="72" t="s">
        <v>65</v>
      </c>
      <c r="C71" s="77">
        <v>21150</v>
      </c>
      <c r="D71" s="77">
        <v>970</v>
      </c>
      <c r="E71" s="77"/>
      <c r="F71" s="77">
        <v>24500</v>
      </c>
      <c r="G71" s="77">
        <v>9500</v>
      </c>
      <c r="H71" s="77">
        <v>10000</v>
      </c>
      <c r="I71" s="77"/>
      <c r="J71" s="77">
        <f t="shared" si="9"/>
        <v>47120</v>
      </c>
      <c r="K71" s="77">
        <v>0</v>
      </c>
      <c r="L71" s="77">
        <f t="shared" si="7"/>
        <v>47120</v>
      </c>
      <c r="M71" s="78">
        <f t="shared" si="10"/>
        <v>0</v>
      </c>
      <c r="N71" s="65"/>
      <c r="O71" s="65"/>
    </row>
    <row r="72" spans="1:15" ht="17.100000000000001" customHeight="1" x14ac:dyDescent="0.2">
      <c r="A72" s="88" t="s">
        <v>166</v>
      </c>
      <c r="B72" s="72" t="s">
        <v>167</v>
      </c>
      <c r="C72" s="77">
        <v>17000</v>
      </c>
      <c r="D72" s="77">
        <v>750</v>
      </c>
      <c r="E72" s="77"/>
      <c r="F72" s="77">
        <v>5000</v>
      </c>
      <c r="G72" s="77"/>
      <c r="H72" s="77">
        <v>7500</v>
      </c>
      <c r="I72" s="77"/>
      <c r="J72" s="77">
        <f t="shared" si="9"/>
        <v>30250</v>
      </c>
      <c r="K72" s="77">
        <v>4350.74</v>
      </c>
      <c r="L72" s="77">
        <f t="shared" si="7"/>
        <v>25899.260000000002</v>
      </c>
      <c r="M72" s="78">
        <f t="shared" si="10"/>
        <v>1.637742595990843E-3</v>
      </c>
      <c r="N72" s="65"/>
      <c r="O72" s="65"/>
    </row>
    <row r="73" spans="1:15" ht="17.100000000000001" customHeight="1" x14ac:dyDescent="0.2">
      <c r="A73" s="88"/>
      <c r="B73" s="72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65"/>
      <c r="O73" s="65"/>
    </row>
    <row r="74" spans="1:15" ht="17.100000000000001" customHeight="1" x14ac:dyDescent="0.25">
      <c r="A74" s="86">
        <v>2</v>
      </c>
      <c r="B74" s="87" t="s">
        <v>66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8"/>
      <c r="N74" s="65"/>
      <c r="O74" s="65"/>
    </row>
    <row r="75" spans="1:15" ht="17.100000000000001" customHeight="1" x14ac:dyDescent="0.2">
      <c r="A75" s="88" t="s">
        <v>168</v>
      </c>
      <c r="B75" s="72" t="s">
        <v>67</v>
      </c>
      <c r="C75" s="77">
        <v>116357.64</v>
      </c>
      <c r="D75" s="77">
        <v>40914</v>
      </c>
      <c r="E75" s="77"/>
      <c r="F75" s="77">
        <v>8500</v>
      </c>
      <c r="G75" s="77"/>
      <c r="H75" s="77"/>
      <c r="I75" s="77"/>
      <c r="J75" s="77">
        <f t="shared" si="9"/>
        <v>165771.64000000001</v>
      </c>
      <c r="K75" s="77">
        <v>32345.95</v>
      </c>
      <c r="L75" s="77">
        <f t="shared" si="7"/>
        <v>133425.69</v>
      </c>
      <c r="M75" s="78">
        <f t="shared" ref="M75:M104" si="11">K75/$K$123</f>
        <v>1.2175937914651304E-2</v>
      </c>
      <c r="N75" s="65"/>
      <c r="O75" s="65"/>
    </row>
    <row r="76" spans="1:15" ht="17.100000000000001" customHeight="1" x14ac:dyDescent="0.2">
      <c r="A76" s="88" t="s">
        <v>254</v>
      </c>
      <c r="B76" s="72" t="s">
        <v>255</v>
      </c>
      <c r="C76" s="77">
        <v>0</v>
      </c>
      <c r="D76" s="77">
        <v>750</v>
      </c>
      <c r="E76" s="77"/>
      <c r="F76" s="77"/>
      <c r="G76" s="77"/>
      <c r="H76" s="77"/>
      <c r="I76" s="77"/>
      <c r="J76" s="77">
        <f t="shared" si="9"/>
        <v>750</v>
      </c>
      <c r="K76" s="77">
        <v>0</v>
      </c>
      <c r="L76" s="77">
        <f t="shared" si="7"/>
        <v>750</v>
      </c>
      <c r="M76" s="78">
        <f t="shared" si="11"/>
        <v>0</v>
      </c>
      <c r="N76" s="65"/>
      <c r="O76" s="65"/>
    </row>
    <row r="77" spans="1:15" ht="17.100000000000001" customHeight="1" x14ac:dyDescent="0.2">
      <c r="A77" s="88" t="s">
        <v>170</v>
      </c>
      <c r="B77" s="72" t="s">
        <v>69</v>
      </c>
      <c r="C77" s="77">
        <v>2080</v>
      </c>
      <c r="D77" s="77">
        <v>4500</v>
      </c>
      <c r="E77" s="77"/>
      <c r="F77" s="77">
        <v>3000</v>
      </c>
      <c r="G77" s="77"/>
      <c r="H77" s="77"/>
      <c r="I77" s="77"/>
      <c r="J77" s="77">
        <f t="shared" si="9"/>
        <v>9580</v>
      </c>
      <c r="K77" s="77">
        <v>3175</v>
      </c>
      <c r="L77" s="77">
        <f t="shared" si="7"/>
        <v>6405</v>
      </c>
      <c r="M77" s="78">
        <f t="shared" si="11"/>
        <v>1.1951605341323376E-3</v>
      </c>
      <c r="N77" s="65"/>
      <c r="O77" s="65"/>
    </row>
    <row r="78" spans="1:15" ht="17.100000000000001" customHeight="1" x14ac:dyDescent="0.2">
      <c r="A78" s="88" t="s">
        <v>171</v>
      </c>
      <c r="B78" s="72" t="s">
        <v>70</v>
      </c>
      <c r="C78" s="77">
        <v>62500</v>
      </c>
      <c r="D78" s="77">
        <v>6450</v>
      </c>
      <c r="E78" s="77"/>
      <c r="F78" s="77">
        <v>7500</v>
      </c>
      <c r="G78" s="77"/>
      <c r="H78" s="77"/>
      <c r="I78" s="77"/>
      <c r="J78" s="77">
        <f t="shared" si="9"/>
        <v>76450</v>
      </c>
      <c r="K78" s="77">
        <v>10368</v>
      </c>
      <c r="L78" s="77">
        <f t="shared" si="7"/>
        <v>66082</v>
      </c>
      <c r="M78" s="78">
        <f t="shared" si="11"/>
        <v>3.9028108402784493E-3</v>
      </c>
      <c r="N78" s="65"/>
      <c r="O78" s="65"/>
    </row>
    <row r="79" spans="1:15" ht="17.100000000000001" customHeight="1" x14ac:dyDescent="0.2">
      <c r="A79" s="88" t="s">
        <v>172</v>
      </c>
      <c r="B79" s="72" t="s">
        <v>71</v>
      </c>
      <c r="C79" s="77">
        <v>6000</v>
      </c>
      <c r="D79" s="77">
        <v>750</v>
      </c>
      <c r="E79" s="77"/>
      <c r="F79" s="77"/>
      <c r="G79" s="77"/>
      <c r="H79" s="77"/>
      <c r="I79" s="77"/>
      <c r="J79" s="77">
        <f t="shared" si="9"/>
        <v>6750</v>
      </c>
      <c r="K79" s="77">
        <v>2026.65</v>
      </c>
      <c r="L79" s="77">
        <f t="shared" si="7"/>
        <v>4723.3500000000004</v>
      </c>
      <c r="M79" s="78">
        <f t="shared" si="11"/>
        <v>7.6288884929111875E-4</v>
      </c>
      <c r="N79" s="65"/>
      <c r="O79" s="65"/>
    </row>
    <row r="80" spans="1:15" ht="17.100000000000001" customHeight="1" x14ac:dyDescent="0.2">
      <c r="A80" s="88" t="s">
        <v>173</v>
      </c>
      <c r="B80" s="72" t="s">
        <v>72</v>
      </c>
      <c r="C80" s="77">
        <v>1100</v>
      </c>
      <c r="D80" s="77"/>
      <c r="E80" s="77"/>
      <c r="F80" s="77"/>
      <c r="G80" s="77"/>
      <c r="H80" s="77"/>
      <c r="I80" s="77"/>
      <c r="J80" s="77">
        <f t="shared" si="9"/>
        <v>1100</v>
      </c>
      <c r="K80" s="77">
        <v>545.5</v>
      </c>
      <c r="L80" s="77">
        <f t="shared" si="7"/>
        <v>554.5</v>
      </c>
      <c r="M80" s="78">
        <f t="shared" si="11"/>
        <v>2.0534175476194966E-4</v>
      </c>
      <c r="N80" s="65"/>
      <c r="O80" s="65"/>
    </row>
    <row r="81" spans="1:15" ht="17.100000000000001" customHeight="1" x14ac:dyDescent="0.2">
      <c r="A81" s="88" t="s">
        <v>174</v>
      </c>
      <c r="B81" s="72" t="s">
        <v>175</v>
      </c>
      <c r="C81" s="77">
        <v>2255</v>
      </c>
      <c r="D81" s="77"/>
      <c r="E81" s="77"/>
      <c r="F81" s="77"/>
      <c r="G81" s="77"/>
      <c r="H81" s="77"/>
      <c r="I81" s="77"/>
      <c r="J81" s="77">
        <f t="shared" si="9"/>
        <v>2255</v>
      </c>
      <c r="K81" s="77">
        <v>1604.4</v>
      </c>
      <c r="L81" s="77">
        <f t="shared" si="7"/>
        <v>650.59999999999991</v>
      </c>
      <c r="M81" s="78">
        <f t="shared" si="11"/>
        <v>6.0394190896438508E-4</v>
      </c>
      <c r="N81" s="65"/>
      <c r="O81" s="65"/>
    </row>
    <row r="82" spans="1:15" ht="17.100000000000001" customHeight="1" x14ac:dyDescent="0.2">
      <c r="A82" s="88" t="s">
        <v>176</v>
      </c>
      <c r="B82" s="72" t="s">
        <v>177</v>
      </c>
      <c r="C82" s="77">
        <v>1300</v>
      </c>
      <c r="D82" s="77"/>
      <c r="E82" s="77"/>
      <c r="F82" s="77"/>
      <c r="G82" s="77"/>
      <c r="H82" s="77"/>
      <c r="I82" s="77"/>
      <c r="J82" s="77">
        <f t="shared" si="9"/>
        <v>1300</v>
      </c>
      <c r="K82" s="77">
        <v>18</v>
      </c>
      <c r="L82" s="77">
        <f t="shared" si="7"/>
        <v>1282</v>
      </c>
      <c r="M82" s="78">
        <f t="shared" si="11"/>
        <v>6.7757132643723083E-6</v>
      </c>
      <c r="N82" s="65"/>
      <c r="O82" s="65"/>
    </row>
    <row r="83" spans="1:15" ht="17.100000000000001" customHeight="1" x14ac:dyDescent="0.2">
      <c r="A83" s="88" t="s">
        <v>178</v>
      </c>
      <c r="B83" s="72" t="s">
        <v>179</v>
      </c>
      <c r="C83" s="77">
        <v>7500</v>
      </c>
      <c r="D83" s="77"/>
      <c r="E83" s="77"/>
      <c r="F83" s="77"/>
      <c r="G83" s="77"/>
      <c r="H83" s="77"/>
      <c r="I83" s="77"/>
      <c r="J83" s="77">
        <f t="shared" si="9"/>
        <v>7500</v>
      </c>
      <c r="K83" s="77">
        <v>0</v>
      </c>
      <c r="L83" s="77">
        <f t="shared" si="7"/>
        <v>7500</v>
      </c>
      <c r="M83" s="78">
        <f t="shared" si="11"/>
        <v>0</v>
      </c>
      <c r="N83" s="65"/>
      <c r="O83" s="65"/>
    </row>
    <row r="84" spans="1:15" ht="17.100000000000001" customHeight="1" x14ac:dyDescent="0.2">
      <c r="A84" s="88" t="s">
        <v>180</v>
      </c>
      <c r="B84" s="72" t="s">
        <v>73</v>
      </c>
      <c r="C84" s="77">
        <v>200</v>
      </c>
      <c r="D84" s="77">
        <v>1050</v>
      </c>
      <c r="E84" s="77"/>
      <c r="F84" s="77"/>
      <c r="G84" s="77"/>
      <c r="H84" s="77"/>
      <c r="I84" s="77"/>
      <c r="J84" s="77">
        <f t="shared" si="9"/>
        <v>1250</v>
      </c>
      <c r="K84" s="77">
        <v>330</v>
      </c>
      <c r="L84" s="77">
        <f t="shared" si="7"/>
        <v>920</v>
      </c>
      <c r="M84" s="78">
        <f t="shared" si="11"/>
        <v>1.2422140984682566E-4</v>
      </c>
      <c r="N84" s="65"/>
      <c r="O84" s="65"/>
    </row>
    <row r="85" spans="1:15" ht="17.100000000000001" customHeight="1" x14ac:dyDescent="0.2">
      <c r="A85" s="88" t="s">
        <v>181</v>
      </c>
      <c r="B85" s="72" t="s">
        <v>74</v>
      </c>
      <c r="C85" s="77">
        <v>10920</v>
      </c>
      <c r="D85" s="77"/>
      <c r="E85" s="77">
        <v>2700</v>
      </c>
      <c r="F85" s="77"/>
      <c r="G85" s="77"/>
      <c r="H85" s="77"/>
      <c r="I85" s="77"/>
      <c r="J85" s="77">
        <f t="shared" si="9"/>
        <v>8220</v>
      </c>
      <c r="K85" s="77">
        <v>5178.78</v>
      </c>
      <c r="L85" s="77">
        <f t="shared" si="7"/>
        <v>3041.2200000000003</v>
      </c>
      <c r="M85" s="78">
        <f t="shared" si="11"/>
        <v>1.9494404632925566E-3</v>
      </c>
      <c r="N85" s="65"/>
      <c r="O85" s="65"/>
    </row>
    <row r="86" spans="1:15" ht="17.100000000000001" customHeight="1" x14ac:dyDescent="0.2">
      <c r="A86" s="88" t="s">
        <v>182</v>
      </c>
      <c r="B86" s="72" t="s">
        <v>183</v>
      </c>
      <c r="C86" s="77">
        <v>1850</v>
      </c>
      <c r="D86" s="77"/>
      <c r="E86" s="77"/>
      <c r="F86" s="77"/>
      <c r="G86" s="77"/>
      <c r="H86" s="77">
        <v>3500</v>
      </c>
      <c r="I86" s="77"/>
      <c r="J86" s="77">
        <f t="shared" si="9"/>
        <v>5350</v>
      </c>
      <c r="K86" s="77">
        <v>2618.04</v>
      </c>
      <c r="L86" s="77">
        <f t="shared" si="7"/>
        <v>2731.96</v>
      </c>
      <c r="M86" s="78">
        <f t="shared" si="11"/>
        <v>9.8550490859207083E-4</v>
      </c>
      <c r="N86" s="65"/>
      <c r="O86" s="65"/>
    </row>
    <row r="87" spans="1:15" ht="17.100000000000001" customHeight="1" x14ac:dyDescent="0.2">
      <c r="A87" s="88" t="s">
        <v>184</v>
      </c>
      <c r="B87" s="72" t="s">
        <v>75</v>
      </c>
      <c r="C87" s="77">
        <v>19000</v>
      </c>
      <c r="D87" s="77">
        <v>3250</v>
      </c>
      <c r="E87" s="77"/>
      <c r="F87" s="77">
        <v>8640</v>
      </c>
      <c r="G87" s="77"/>
      <c r="H87" s="77">
        <v>10500</v>
      </c>
      <c r="I87" s="77"/>
      <c r="J87" s="77">
        <f t="shared" si="9"/>
        <v>41390</v>
      </c>
      <c r="K87" s="77">
        <v>24569.94</v>
      </c>
      <c r="L87" s="77">
        <f t="shared" si="7"/>
        <v>16820.060000000001</v>
      </c>
      <c r="M87" s="78">
        <f t="shared" si="11"/>
        <v>9.2488260201573184E-3</v>
      </c>
      <c r="N87" s="65"/>
      <c r="O87" s="65"/>
    </row>
    <row r="88" spans="1:15" ht="17.100000000000001" customHeight="1" x14ac:dyDescent="0.2">
      <c r="A88" s="88" t="s">
        <v>185</v>
      </c>
      <c r="B88" s="72" t="s">
        <v>186</v>
      </c>
      <c r="C88" s="77">
        <v>4793.1600000000008</v>
      </c>
      <c r="D88" s="77">
        <v>17750</v>
      </c>
      <c r="E88" s="77"/>
      <c r="F88" s="77">
        <v>985</v>
      </c>
      <c r="G88" s="77"/>
      <c r="H88" s="77"/>
      <c r="I88" s="77"/>
      <c r="J88" s="77">
        <f t="shared" si="9"/>
        <v>23528.16</v>
      </c>
      <c r="K88" s="77">
        <v>2944.4300000000003</v>
      </c>
      <c r="L88" s="77">
        <f t="shared" si="7"/>
        <v>20583.73</v>
      </c>
      <c r="M88" s="78">
        <f t="shared" si="11"/>
        <v>1.1083674115008753E-3</v>
      </c>
      <c r="N88" s="65"/>
      <c r="O88" s="65"/>
    </row>
    <row r="89" spans="1:15" ht="17.100000000000001" customHeight="1" x14ac:dyDescent="0.2">
      <c r="A89" s="88" t="s">
        <v>187</v>
      </c>
      <c r="B89" s="72" t="s">
        <v>275</v>
      </c>
      <c r="C89" s="77">
        <v>1250</v>
      </c>
      <c r="D89" s="77"/>
      <c r="E89" s="77"/>
      <c r="F89" s="77">
        <v>650</v>
      </c>
      <c r="G89" s="77"/>
      <c r="H89" s="77"/>
      <c r="I89" s="77"/>
      <c r="J89" s="77">
        <f t="shared" si="9"/>
        <v>1900</v>
      </c>
      <c r="K89" s="77">
        <v>1462</v>
      </c>
      <c r="L89" s="77">
        <f t="shared" ref="L89:L121" si="12">J89-K89</f>
        <v>438</v>
      </c>
      <c r="M89" s="78">
        <f t="shared" si="11"/>
        <v>5.5033848847290637E-4</v>
      </c>
      <c r="N89" s="65"/>
      <c r="O89" s="65"/>
    </row>
    <row r="90" spans="1:15" ht="17.100000000000001" customHeight="1" x14ac:dyDescent="0.2">
      <c r="A90" s="88" t="s">
        <v>189</v>
      </c>
      <c r="B90" s="72" t="s">
        <v>76</v>
      </c>
      <c r="C90" s="77">
        <v>165089.08000000002</v>
      </c>
      <c r="D90" s="77"/>
      <c r="E90" s="77">
        <v>2000</v>
      </c>
      <c r="F90" s="77"/>
      <c r="G90" s="77">
        <v>77463</v>
      </c>
      <c r="H90" s="77"/>
      <c r="I90" s="77"/>
      <c r="J90" s="77">
        <f t="shared" si="9"/>
        <v>85626.080000000016</v>
      </c>
      <c r="K90" s="77">
        <v>83271.08</v>
      </c>
      <c r="L90" s="77">
        <f t="shared" si="12"/>
        <v>2355.0000000000146</v>
      </c>
      <c r="M90" s="78">
        <f t="shared" si="11"/>
        <v>3.1345608960811532E-2</v>
      </c>
      <c r="N90" s="65"/>
      <c r="O90" s="65"/>
    </row>
    <row r="91" spans="1:15" ht="17.100000000000001" customHeight="1" x14ac:dyDescent="0.2">
      <c r="A91" s="88" t="s">
        <v>190</v>
      </c>
      <c r="B91" s="72" t="s">
        <v>77</v>
      </c>
      <c r="C91" s="77">
        <v>0</v>
      </c>
      <c r="D91" s="77"/>
      <c r="E91" s="77"/>
      <c r="F91" s="77"/>
      <c r="G91" s="77"/>
      <c r="H91" s="77"/>
      <c r="I91" s="77"/>
      <c r="J91" s="77">
        <f t="shared" si="9"/>
        <v>0</v>
      </c>
      <c r="K91" s="77">
        <v>0</v>
      </c>
      <c r="L91" s="77">
        <f t="shared" si="12"/>
        <v>0</v>
      </c>
      <c r="M91" s="78">
        <f t="shared" si="11"/>
        <v>0</v>
      </c>
      <c r="N91" s="65"/>
      <c r="O91" s="65"/>
    </row>
    <row r="92" spans="1:15" ht="17.100000000000001" customHeight="1" x14ac:dyDescent="0.2">
      <c r="A92" s="88" t="s">
        <v>256</v>
      </c>
      <c r="B92" s="72" t="s">
        <v>257</v>
      </c>
      <c r="C92" s="77">
        <v>0</v>
      </c>
      <c r="D92" s="77">
        <v>1200</v>
      </c>
      <c r="E92" s="77"/>
      <c r="F92" s="77"/>
      <c r="G92" s="77"/>
      <c r="H92" s="77"/>
      <c r="I92" s="77"/>
      <c r="J92" s="77">
        <f t="shared" si="9"/>
        <v>1200</v>
      </c>
      <c r="K92" s="77">
        <v>75</v>
      </c>
      <c r="L92" s="77">
        <f t="shared" si="12"/>
        <v>1125</v>
      </c>
      <c r="M92" s="78">
        <f t="shared" si="11"/>
        <v>2.8232138601551284E-5</v>
      </c>
      <c r="N92" s="65"/>
      <c r="O92" s="65"/>
    </row>
    <row r="93" spans="1:15" ht="17.100000000000001" customHeight="1" x14ac:dyDescent="0.2">
      <c r="A93" s="88" t="s">
        <v>258</v>
      </c>
      <c r="B93" s="72" t="s">
        <v>259</v>
      </c>
      <c r="C93" s="77">
        <v>0</v>
      </c>
      <c r="D93" s="77">
        <v>750</v>
      </c>
      <c r="E93" s="77"/>
      <c r="F93" s="77"/>
      <c r="G93" s="77"/>
      <c r="H93" s="77"/>
      <c r="I93" s="77"/>
      <c r="J93" s="77">
        <f t="shared" si="9"/>
        <v>750</v>
      </c>
      <c r="K93" s="77">
        <v>0</v>
      </c>
      <c r="L93" s="77">
        <f t="shared" si="12"/>
        <v>750</v>
      </c>
      <c r="M93" s="78">
        <f t="shared" si="11"/>
        <v>0</v>
      </c>
      <c r="N93" s="65"/>
      <c r="O93" s="65"/>
    </row>
    <row r="94" spans="1:15" ht="17.100000000000001" customHeight="1" x14ac:dyDescent="0.2">
      <c r="A94" s="88" t="s">
        <v>191</v>
      </c>
      <c r="B94" s="72" t="s">
        <v>78</v>
      </c>
      <c r="C94" s="77">
        <v>1000</v>
      </c>
      <c r="D94" s="77"/>
      <c r="E94" s="77"/>
      <c r="F94" s="77"/>
      <c r="G94" s="77"/>
      <c r="H94" s="77">
        <v>1500</v>
      </c>
      <c r="I94" s="77"/>
      <c r="J94" s="77">
        <f t="shared" si="9"/>
        <v>2500</v>
      </c>
      <c r="K94" s="77">
        <v>1054.0999999999999</v>
      </c>
      <c r="L94" s="77">
        <f t="shared" si="12"/>
        <v>1445.9</v>
      </c>
      <c r="M94" s="78">
        <f t="shared" si="11"/>
        <v>3.9679329733193608E-4</v>
      </c>
      <c r="N94" s="65"/>
      <c r="O94" s="65"/>
    </row>
    <row r="95" spans="1:15" ht="17.100000000000001" customHeight="1" x14ac:dyDescent="0.2">
      <c r="A95" s="88" t="s">
        <v>192</v>
      </c>
      <c r="B95" s="72" t="s">
        <v>79</v>
      </c>
      <c r="C95" s="77">
        <v>7500</v>
      </c>
      <c r="D95" s="77"/>
      <c r="E95" s="77"/>
      <c r="F95" s="77">
        <v>2500</v>
      </c>
      <c r="G95" s="77"/>
      <c r="H95" s="77"/>
      <c r="I95" s="77"/>
      <c r="J95" s="77">
        <f t="shared" si="9"/>
        <v>10000</v>
      </c>
      <c r="K95" s="77">
        <v>0</v>
      </c>
      <c r="L95" s="77">
        <f t="shared" si="12"/>
        <v>10000</v>
      </c>
      <c r="M95" s="78">
        <f t="shared" si="11"/>
        <v>0</v>
      </c>
      <c r="N95" s="65"/>
      <c r="O95" s="65"/>
    </row>
    <row r="96" spans="1:15" ht="17.100000000000001" customHeight="1" x14ac:dyDescent="0.2">
      <c r="A96" s="88" t="s">
        <v>193</v>
      </c>
      <c r="B96" s="72" t="s">
        <v>194</v>
      </c>
      <c r="C96" s="77">
        <v>1125749.23</v>
      </c>
      <c r="D96" s="77"/>
      <c r="E96" s="77">
        <v>8775</v>
      </c>
      <c r="F96" s="77"/>
      <c r="G96" s="77"/>
      <c r="H96" s="77"/>
      <c r="I96" s="77">
        <v>25000</v>
      </c>
      <c r="J96" s="77">
        <f t="shared" si="9"/>
        <v>1091974.23</v>
      </c>
      <c r="K96" s="77">
        <v>774785.81</v>
      </c>
      <c r="L96" s="77">
        <f t="shared" si="12"/>
        <v>317188.41999999993</v>
      </c>
      <c r="M96" s="78">
        <f t="shared" si="11"/>
        <v>0.29165147165913574</v>
      </c>
      <c r="N96" s="65"/>
      <c r="O96" s="65"/>
    </row>
    <row r="97" spans="1:15" ht="17.100000000000001" customHeight="1" x14ac:dyDescent="0.2">
      <c r="A97" s="88" t="s">
        <v>260</v>
      </c>
      <c r="B97" s="72" t="s">
        <v>261</v>
      </c>
      <c r="C97" s="77">
        <v>0</v>
      </c>
      <c r="D97" s="77">
        <v>1750</v>
      </c>
      <c r="E97" s="77"/>
      <c r="F97" s="77"/>
      <c r="G97" s="77"/>
      <c r="H97" s="77">
        <v>2000</v>
      </c>
      <c r="I97" s="77"/>
      <c r="J97" s="77">
        <f t="shared" si="9"/>
        <v>3750</v>
      </c>
      <c r="K97" s="77">
        <v>878.48</v>
      </c>
      <c r="L97" s="77">
        <f t="shared" si="12"/>
        <v>2871.52</v>
      </c>
      <c r="M97" s="78">
        <f t="shared" si="11"/>
        <v>3.306849215825436E-4</v>
      </c>
      <c r="N97" s="65"/>
      <c r="O97" s="65"/>
    </row>
    <row r="98" spans="1:15" ht="17.100000000000001" customHeight="1" x14ac:dyDescent="0.2">
      <c r="A98" s="88" t="s">
        <v>195</v>
      </c>
      <c r="B98" s="72" t="s">
        <v>80</v>
      </c>
      <c r="C98" s="77">
        <v>9940</v>
      </c>
      <c r="D98" s="77"/>
      <c r="E98" s="77">
        <v>625</v>
      </c>
      <c r="F98" s="77"/>
      <c r="G98" s="77"/>
      <c r="H98" s="77"/>
      <c r="I98" s="77"/>
      <c r="J98" s="77">
        <f t="shared" si="9"/>
        <v>9315</v>
      </c>
      <c r="K98" s="77">
        <v>3998.4100000000003</v>
      </c>
      <c r="L98" s="77">
        <f t="shared" si="12"/>
        <v>5316.59</v>
      </c>
      <c r="M98" s="78">
        <f t="shared" si="11"/>
        <v>1.5051155374110491E-3</v>
      </c>
      <c r="N98" s="65"/>
      <c r="O98" s="65"/>
    </row>
    <row r="99" spans="1:15" ht="17.100000000000001" customHeight="1" x14ac:dyDescent="0.2">
      <c r="A99" s="88" t="s">
        <v>196</v>
      </c>
      <c r="B99" s="72" t="s">
        <v>197</v>
      </c>
      <c r="C99" s="77">
        <v>2250</v>
      </c>
      <c r="D99" s="77"/>
      <c r="E99" s="77">
        <v>450</v>
      </c>
      <c r="F99" s="77"/>
      <c r="G99" s="77"/>
      <c r="H99" s="77"/>
      <c r="I99" s="77"/>
      <c r="J99" s="77">
        <f t="shared" si="9"/>
        <v>1800</v>
      </c>
      <c r="K99" s="77">
        <v>763.7</v>
      </c>
      <c r="L99" s="77">
        <f t="shared" si="12"/>
        <v>1036.3</v>
      </c>
      <c r="M99" s="78">
        <f t="shared" si="11"/>
        <v>2.8747845666672952E-4</v>
      </c>
      <c r="N99" s="65"/>
      <c r="O99" s="65"/>
    </row>
    <row r="100" spans="1:15" ht="17.100000000000001" customHeight="1" x14ac:dyDescent="0.2">
      <c r="A100" s="88" t="s">
        <v>198</v>
      </c>
      <c r="B100" s="72" t="s">
        <v>81</v>
      </c>
      <c r="C100" s="77">
        <v>122483.72</v>
      </c>
      <c r="D100" s="77"/>
      <c r="E100" s="77">
        <v>31960</v>
      </c>
      <c r="F100" s="77">
        <v>3600</v>
      </c>
      <c r="G100" s="77"/>
      <c r="H100" s="77"/>
      <c r="I100" s="77"/>
      <c r="J100" s="77">
        <f t="shared" si="9"/>
        <v>94123.72</v>
      </c>
      <c r="K100" s="77">
        <v>12750</v>
      </c>
      <c r="L100" s="77">
        <f t="shared" si="12"/>
        <v>81373.72</v>
      </c>
      <c r="M100" s="78">
        <f t="shared" si="11"/>
        <v>4.7994635622637177E-3</v>
      </c>
      <c r="N100" s="65"/>
      <c r="O100" s="65"/>
    </row>
    <row r="101" spans="1:15" ht="17.100000000000001" customHeight="1" x14ac:dyDescent="0.2">
      <c r="A101" s="88" t="s">
        <v>199</v>
      </c>
      <c r="B101" s="72" t="s">
        <v>200</v>
      </c>
      <c r="C101" s="77">
        <v>650</v>
      </c>
      <c r="D101" s="77"/>
      <c r="E101" s="77">
        <v>150</v>
      </c>
      <c r="F101" s="77"/>
      <c r="G101" s="77"/>
      <c r="H101" s="77"/>
      <c r="I101" s="77"/>
      <c r="J101" s="77">
        <f t="shared" si="9"/>
        <v>500</v>
      </c>
      <c r="K101" s="77">
        <v>0</v>
      </c>
      <c r="L101" s="77">
        <f t="shared" si="12"/>
        <v>500</v>
      </c>
      <c r="M101" s="78">
        <f t="shared" si="11"/>
        <v>0</v>
      </c>
      <c r="N101" s="65"/>
      <c r="O101" s="65"/>
    </row>
    <row r="102" spans="1:15" ht="17.100000000000001" customHeight="1" x14ac:dyDescent="0.2">
      <c r="A102" s="88" t="s">
        <v>201</v>
      </c>
      <c r="B102" s="72" t="s">
        <v>202</v>
      </c>
      <c r="C102" s="77">
        <v>6900</v>
      </c>
      <c r="D102" s="77"/>
      <c r="E102" s="77">
        <v>300</v>
      </c>
      <c r="F102" s="77">
        <v>5250</v>
      </c>
      <c r="G102" s="77"/>
      <c r="H102" s="77"/>
      <c r="I102" s="77"/>
      <c r="J102" s="77">
        <f t="shared" si="9"/>
        <v>11850</v>
      </c>
      <c r="K102" s="77">
        <v>958.65</v>
      </c>
      <c r="L102" s="77">
        <f t="shared" si="12"/>
        <v>10891.35</v>
      </c>
      <c r="M102" s="78">
        <f t="shared" si="11"/>
        <v>3.6086319560502849E-4</v>
      </c>
      <c r="N102" s="65"/>
      <c r="O102" s="65"/>
    </row>
    <row r="103" spans="1:15" ht="17.100000000000001" customHeight="1" x14ac:dyDescent="0.2">
      <c r="A103" s="88" t="s">
        <v>203</v>
      </c>
      <c r="B103" s="72" t="s">
        <v>82</v>
      </c>
      <c r="C103" s="77">
        <v>85470</v>
      </c>
      <c r="D103" s="77"/>
      <c r="E103" s="77">
        <v>5669</v>
      </c>
      <c r="F103" s="77">
        <v>15690</v>
      </c>
      <c r="G103" s="77"/>
      <c r="H103" s="77"/>
      <c r="I103" s="77"/>
      <c r="J103" s="77">
        <f t="shared" si="9"/>
        <v>95491</v>
      </c>
      <c r="K103" s="77">
        <v>14320.260000000002</v>
      </c>
      <c r="L103" s="77">
        <f t="shared" si="12"/>
        <v>81170.739999999991</v>
      </c>
      <c r="M103" s="78">
        <f t="shared" si="11"/>
        <v>5.3905542017366774E-3</v>
      </c>
      <c r="N103" s="65"/>
      <c r="O103" s="65"/>
    </row>
    <row r="104" spans="1:15" ht="17.100000000000001" customHeight="1" x14ac:dyDescent="0.2">
      <c r="A104" s="88" t="s">
        <v>204</v>
      </c>
      <c r="B104" s="72" t="s">
        <v>83</v>
      </c>
      <c r="C104" s="77">
        <v>15600</v>
      </c>
      <c r="D104" s="77"/>
      <c r="E104" s="77">
        <v>3600</v>
      </c>
      <c r="F104" s="77"/>
      <c r="G104" s="77"/>
      <c r="H104" s="77"/>
      <c r="I104" s="77"/>
      <c r="J104" s="77">
        <f t="shared" si="9"/>
        <v>12000</v>
      </c>
      <c r="K104" s="77">
        <v>2167.79</v>
      </c>
      <c r="L104" s="77">
        <f t="shared" si="12"/>
        <v>9832.2099999999991</v>
      </c>
      <c r="M104" s="78">
        <f t="shared" si="11"/>
        <v>8.160179698540914E-4</v>
      </c>
      <c r="N104" s="65"/>
      <c r="O104" s="65"/>
    </row>
    <row r="105" spans="1:15" ht="17.100000000000001" customHeight="1" x14ac:dyDescent="0.2">
      <c r="A105" s="88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  <c r="N105" s="65"/>
      <c r="O105" s="65"/>
    </row>
    <row r="106" spans="1:15" ht="17.100000000000001" customHeight="1" x14ac:dyDescent="0.25">
      <c r="A106" s="86">
        <v>3</v>
      </c>
      <c r="B106" s="87" t="s">
        <v>84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8"/>
      <c r="N106" s="65"/>
      <c r="O106" s="65"/>
    </row>
    <row r="107" spans="1:15" ht="17.100000000000001" customHeight="1" x14ac:dyDescent="0.2">
      <c r="A107" s="88" t="s">
        <v>205</v>
      </c>
      <c r="B107" s="72" t="s">
        <v>85</v>
      </c>
      <c r="C107" s="77">
        <v>162200</v>
      </c>
      <c r="D107" s="77"/>
      <c r="E107" s="77"/>
      <c r="F107" s="77"/>
      <c r="G107" s="77"/>
      <c r="H107" s="77"/>
      <c r="I107" s="77"/>
      <c r="J107" s="77">
        <f t="shared" ref="J107:J121" si="13">C107+D107-E107+F107-G107+H107-I107</f>
        <v>162200</v>
      </c>
      <c r="K107" s="77">
        <v>1750</v>
      </c>
      <c r="L107" s="77">
        <f t="shared" si="12"/>
        <v>160450</v>
      </c>
      <c r="M107" s="78">
        <f t="shared" ref="M107:M112" si="14">K107/$K$123</f>
        <v>6.5874990070286324E-4</v>
      </c>
      <c r="N107" s="65"/>
      <c r="O107" s="65"/>
    </row>
    <row r="108" spans="1:15" ht="17.100000000000001" customHeight="1" x14ac:dyDescent="0.2">
      <c r="A108" s="88" t="s">
        <v>206</v>
      </c>
      <c r="B108" s="72" t="s">
        <v>207</v>
      </c>
      <c r="C108" s="77">
        <v>0</v>
      </c>
      <c r="D108" s="77"/>
      <c r="E108" s="77"/>
      <c r="F108" s="77"/>
      <c r="G108" s="77"/>
      <c r="H108" s="77"/>
      <c r="I108" s="77"/>
      <c r="J108" s="77">
        <f t="shared" si="13"/>
        <v>0</v>
      </c>
      <c r="K108" s="77">
        <v>0</v>
      </c>
      <c r="L108" s="77">
        <f t="shared" si="12"/>
        <v>0</v>
      </c>
      <c r="M108" s="78">
        <f t="shared" si="14"/>
        <v>0</v>
      </c>
      <c r="N108" s="65"/>
      <c r="O108" s="65"/>
    </row>
    <row r="109" spans="1:15" ht="17.100000000000001" customHeight="1" x14ac:dyDescent="0.2">
      <c r="A109" s="88" t="s">
        <v>208</v>
      </c>
      <c r="B109" s="72" t="s">
        <v>209</v>
      </c>
      <c r="C109" s="77">
        <v>1856690.49</v>
      </c>
      <c r="D109" s="77"/>
      <c r="E109" s="77"/>
      <c r="F109" s="77"/>
      <c r="G109" s="77"/>
      <c r="H109" s="77"/>
      <c r="I109" s="77"/>
      <c r="J109" s="77">
        <f t="shared" si="13"/>
        <v>1856690.49</v>
      </c>
      <c r="K109" s="77">
        <v>11295</v>
      </c>
      <c r="L109" s="77">
        <f t="shared" si="12"/>
        <v>1845395.49</v>
      </c>
      <c r="M109" s="78">
        <f t="shared" si="14"/>
        <v>4.251760073393623E-3</v>
      </c>
      <c r="N109" s="65"/>
      <c r="O109" s="65"/>
    </row>
    <row r="110" spans="1:15" ht="17.100000000000001" customHeight="1" x14ac:dyDescent="0.2">
      <c r="A110" s="88" t="s">
        <v>210</v>
      </c>
      <c r="B110" s="72" t="s">
        <v>211</v>
      </c>
      <c r="C110" s="77">
        <v>200000</v>
      </c>
      <c r="D110" s="77"/>
      <c r="E110" s="77"/>
      <c r="F110" s="77"/>
      <c r="G110" s="77"/>
      <c r="H110" s="77"/>
      <c r="I110" s="77"/>
      <c r="J110" s="77">
        <f t="shared" si="13"/>
        <v>200000</v>
      </c>
      <c r="K110" s="77">
        <v>0</v>
      </c>
      <c r="L110" s="77">
        <f t="shared" si="12"/>
        <v>200000</v>
      </c>
      <c r="M110" s="78">
        <f t="shared" si="14"/>
        <v>0</v>
      </c>
      <c r="N110" s="65"/>
      <c r="O110" s="65"/>
    </row>
    <row r="111" spans="1:15" ht="17.100000000000001" customHeight="1" x14ac:dyDescent="0.2">
      <c r="A111" s="88" t="s">
        <v>212</v>
      </c>
      <c r="B111" s="72" t="s">
        <v>213</v>
      </c>
      <c r="C111" s="77">
        <v>500</v>
      </c>
      <c r="D111" s="77"/>
      <c r="E111" s="77"/>
      <c r="F111" s="77">
        <v>1200</v>
      </c>
      <c r="G111" s="77"/>
      <c r="H111" s="77"/>
      <c r="I111" s="77"/>
      <c r="J111" s="77">
        <f t="shared" si="13"/>
        <v>1700</v>
      </c>
      <c r="K111" s="77">
        <v>1199.92</v>
      </c>
      <c r="L111" s="77">
        <f t="shared" si="12"/>
        <v>500.07999999999993</v>
      </c>
      <c r="M111" s="78">
        <f t="shared" si="14"/>
        <v>4.5168410334364554E-4</v>
      </c>
      <c r="N111" s="65"/>
      <c r="O111" s="65"/>
    </row>
    <row r="112" spans="1:15" ht="17.100000000000001" customHeight="1" x14ac:dyDescent="0.2">
      <c r="A112" s="88" t="s">
        <v>214</v>
      </c>
      <c r="B112" s="72" t="s">
        <v>215</v>
      </c>
      <c r="C112" s="77">
        <v>17500</v>
      </c>
      <c r="D112" s="77"/>
      <c r="E112" s="77"/>
      <c r="F112" s="77"/>
      <c r="G112" s="77"/>
      <c r="H112" s="77"/>
      <c r="I112" s="77"/>
      <c r="J112" s="77">
        <f t="shared" si="13"/>
        <v>17500</v>
      </c>
      <c r="K112" s="77">
        <v>5640</v>
      </c>
      <c r="L112" s="77">
        <f t="shared" si="12"/>
        <v>11860</v>
      </c>
      <c r="M112" s="78">
        <f t="shared" si="14"/>
        <v>2.1230568228366564E-3</v>
      </c>
      <c r="N112" s="65"/>
      <c r="O112" s="65"/>
    </row>
    <row r="113" spans="1:15" ht="17.100000000000001" customHeight="1" x14ac:dyDescent="0.2">
      <c r="A113" s="88" t="s">
        <v>216</v>
      </c>
      <c r="B113" s="72" t="s">
        <v>217</v>
      </c>
      <c r="C113" s="77">
        <v>20500</v>
      </c>
      <c r="D113" s="77"/>
      <c r="E113" s="77"/>
      <c r="F113" s="77"/>
      <c r="G113" s="77"/>
      <c r="H113" s="77"/>
      <c r="I113" s="77"/>
      <c r="J113" s="77">
        <f t="shared" si="13"/>
        <v>20500</v>
      </c>
      <c r="K113" s="77">
        <v>0</v>
      </c>
      <c r="L113" s="77">
        <f t="shared" si="12"/>
        <v>20500</v>
      </c>
      <c r="M113" s="78"/>
      <c r="N113" s="65"/>
      <c r="O113" s="65"/>
    </row>
    <row r="114" spans="1:15" ht="17.100000000000001" customHeight="1" x14ac:dyDescent="0.2">
      <c r="A114" s="88" t="s">
        <v>218</v>
      </c>
      <c r="B114" s="72" t="s">
        <v>219</v>
      </c>
      <c r="C114" s="77">
        <v>2784974.71</v>
      </c>
      <c r="D114" s="77"/>
      <c r="E114" s="77"/>
      <c r="F114" s="77"/>
      <c r="G114" s="77"/>
      <c r="H114" s="77"/>
      <c r="I114" s="77"/>
      <c r="J114" s="77">
        <f t="shared" si="13"/>
        <v>2784974.71</v>
      </c>
      <c r="K114" s="77">
        <v>0</v>
      </c>
      <c r="L114" s="77">
        <f t="shared" si="12"/>
        <v>2784974.71</v>
      </c>
      <c r="M114" s="78"/>
      <c r="N114" s="65"/>
      <c r="O114" s="65"/>
    </row>
    <row r="115" spans="1:15" ht="17.100000000000001" customHeight="1" x14ac:dyDescent="0.2">
      <c r="A115" s="88"/>
      <c r="B115" s="72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8"/>
      <c r="N115" s="65"/>
      <c r="O115" s="65"/>
    </row>
    <row r="116" spans="1:15" ht="17.100000000000001" customHeight="1" x14ac:dyDescent="0.25">
      <c r="A116" s="86">
        <v>4</v>
      </c>
      <c r="B116" s="87" t="s">
        <v>86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8"/>
      <c r="N116" s="65"/>
      <c r="O116" s="65"/>
    </row>
    <row r="117" spans="1:15" ht="17.100000000000001" customHeight="1" x14ac:dyDescent="0.2">
      <c r="A117" s="88" t="s">
        <v>220</v>
      </c>
      <c r="B117" s="72" t="s">
        <v>221</v>
      </c>
      <c r="C117" s="77">
        <v>20750</v>
      </c>
      <c r="D117" s="77"/>
      <c r="E117" s="77"/>
      <c r="F117" s="77"/>
      <c r="G117" s="77"/>
      <c r="H117" s="77"/>
      <c r="I117" s="77"/>
      <c r="J117" s="77">
        <f t="shared" si="13"/>
        <v>20750</v>
      </c>
      <c r="K117" s="77">
        <v>0</v>
      </c>
      <c r="L117" s="77">
        <f t="shared" si="12"/>
        <v>20750</v>
      </c>
      <c r="M117" s="78">
        <f>K117/$K$123</f>
        <v>0</v>
      </c>
      <c r="N117" s="65"/>
      <c r="O117" s="65"/>
    </row>
    <row r="118" spans="1:15" ht="17.100000000000001" customHeight="1" x14ac:dyDescent="0.2">
      <c r="A118" s="88" t="s">
        <v>222</v>
      </c>
      <c r="B118" s="72" t="s">
        <v>223</v>
      </c>
      <c r="C118" s="77">
        <v>7600</v>
      </c>
      <c r="D118" s="77"/>
      <c r="E118" s="77"/>
      <c r="F118" s="77"/>
      <c r="G118" s="77"/>
      <c r="H118" s="77"/>
      <c r="I118" s="77"/>
      <c r="J118" s="77">
        <f t="shared" si="13"/>
        <v>7600</v>
      </c>
      <c r="K118" s="77">
        <v>0</v>
      </c>
      <c r="L118" s="77">
        <f t="shared" si="12"/>
        <v>7600</v>
      </c>
      <c r="M118" s="78">
        <f>K118/$K$123</f>
        <v>0</v>
      </c>
      <c r="N118" s="65"/>
      <c r="O118" s="65"/>
    </row>
    <row r="119" spans="1:15" ht="17.100000000000001" customHeight="1" x14ac:dyDescent="0.2">
      <c r="A119" s="88" t="s">
        <v>224</v>
      </c>
      <c r="B119" s="72" t="s">
        <v>240</v>
      </c>
      <c r="C119" s="77">
        <v>9600</v>
      </c>
      <c r="D119" s="77"/>
      <c r="E119" s="77"/>
      <c r="F119" s="77">
        <v>46500</v>
      </c>
      <c r="G119" s="77"/>
      <c r="H119" s="77"/>
      <c r="I119" s="77"/>
      <c r="J119" s="77">
        <f t="shared" si="13"/>
        <v>56100</v>
      </c>
      <c r="K119" s="77">
        <v>52250</v>
      </c>
      <c r="L119" s="77">
        <f t="shared" si="12"/>
        <v>3850</v>
      </c>
      <c r="M119" s="78">
        <f>K119/$K$123</f>
        <v>1.9668389892414061E-2</v>
      </c>
      <c r="N119" s="65"/>
      <c r="O119" s="65"/>
    </row>
    <row r="120" spans="1:15" ht="17.100000000000001" customHeight="1" x14ac:dyDescent="0.2">
      <c r="A120" s="88" t="s">
        <v>226</v>
      </c>
      <c r="B120" s="72" t="s">
        <v>227</v>
      </c>
      <c r="C120" s="77">
        <v>0</v>
      </c>
      <c r="D120" s="77">
        <v>20000</v>
      </c>
      <c r="E120" s="77"/>
      <c r="F120" s="77"/>
      <c r="G120" s="77">
        <v>20000</v>
      </c>
      <c r="H120" s="77"/>
      <c r="I120" s="77"/>
      <c r="J120" s="77">
        <f t="shared" si="13"/>
        <v>0</v>
      </c>
      <c r="K120" s="77">
        <v>0</v>
      </c>
      <c r="L120" s="77">
        <f t="shared" si="12"/>
        <v>0</v>
      </c>
      <c r="M120" s="78">
        <f>K120/$K$123</f>
        <v>0</v>
      </c>
      <c r="N120" s="65"/>
      <c r="O120" s="65"/>
    </row>
    <row r="121" spans="1:15" s="65" customFormat="1" ht="17.100000000000001" customHeight="1" x14ac:dyDescent="0.2">
      <c r="A121" s="88" t="s">
        <v>228</v>
      </c>
      <c r="B121" s="72" t="s">
        <v>87</v>
      </c>
      <c r="C121" s="89">
        <v>11050</v>
      </c>
      <c r="D121" s="89"/>
      <c r="E121" s="89"/>
      <c r="F121" s="89"/>
      <c r="G121" s="89"/>
      <c r="H121" s="89"/>
      <c r="I121" s="89"/>
      <c r="J121" s="89">
        <f t="shared" si="13"/>
        <v>11050</v>
      </c>
      <c r="K121" s="89">
        <v>6370.87</v>
      </c>
      <c r="L121" s="89">
        <f t="shared" si="12"/>
        <v>4679.13</v>
      </c>
      <c r="M121" s="78">
        <f>K121/$K$123</f>
        <v>2.3981771313662001E-3</v>
      </c>
    </row>
    <row r="122" spans="1:15" s="65" customFormat="1" ht="17.100000000000001" customHeight="1" thickBot="1" x14ac:dyDescent="0.25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3"/>
    </row>
    <row r="123" spans="1:15" s="65" customFormat="1" ht="17.100000000000001" customHeight="1" thickBot="1" x14ac:dyDescent="0.3">
      <c r="A123" s="80"/>
      <c r="B123" s="80" t="s">
        <v>88</v>
      </c>
      <c r="C123" s="81">
        <f>SUM(C25:C122)</f>
        <v>10804273.189999999</v>
      </c>
      <c r="D123" s="81">
        <f t="shared" ref="D123:I123" si="15">SUM(D25:D122)</f>
        <v>191539.09</v>
      </c>
      <c r="E123" s="81">
        <f t="shared" si="15"/>
        <v>94829</v>
      </c>
      <c r="F123" s="81">
        <f t="shared" si="15"/>
        <v>361650</v>
      </c>
      <c r="G123" s="81">
        <f t="shared" si="15"/>
        <v>106963</v>
      </c>
      <c r="H123" s="81">
        <f t="shared" si="15"/>
        <v>265000</v>
      </c>
      <c r="I123" s="81">
        <f t="shared" si="15"/>
        <v>25000</v>
      </c>
      <c r="J123" s="81">
        <f>SUM(J25:J122)</f>
        <v>11395670.280000001</v>
      </c>
      <c r="K123" s="81">
        <f>SUM(K25:K122)</f>
        <v>2656546.8899999997</v>
      </c>
      <c r="L123" s="81">
        <f>SUM(L25:L122)</f>
        <v>8739123.3900000006</v>
      </c>
      <c r="M123" s="94">
        <v>1</v>
      </c>
    </row>
    <row r="124" spans="1:15" s="65" customFormat="1" ht="15" x14ac:dyDescent="0.2">
      <c r="C124" s="95"/>
      <c r="D124" s="96"/>
      <c r="E124" s="97"/>
      <c r="F124" s="97"/>
      <c r="G124" s="97"/>
      <c r="H124" s="97"/>
      <c r="I124" s="97"/>
      <c r="J124" s="95"/>
      <c r="K124" s="98"/>
      <c r="L124" s="97"/>
    </row>
    <row r="125" spans="1:15" s="65" customFormat="1" ht="15.75" thickBot="1" x14ac:dyDescent="0.25">
      <c r="C125" s="97"/>
      <c r="D125" s="97"/>
      <c r="E125" s="97"/>
      <c r="F125" s="97"/>
      <c r="G125" s="97"/>
      <c r="H125" s="97"/>
      <c r="I125" s="97"/>
      <c r="J125" s="99"/>
      <c r="K125" s="99"/>
      <c r="L125" s="97"/>
    </row>
    <row r="126" spans="1:15" s="65" customFormat="1" ht="15.75" x14ac:dyDescent="0.25">
      <c r="A126" s="100" t="s">
        <v>89</v>
      </c>
      <c r="B126" s="101"/>
      <c r="C126" s="102"/>
      <c r="D126" s="97"/>
      <c r="E126" s="97"/>
      <c r="F126" s="97"/>
      <c r="G126" s="97"/>
      <c r="H126" s="97"/>
      <c r="I126" s="97"/>
      <c r="J126" s="97"/>
      <c r="K126" s="99"/>
      <c r="L126" s="97"/>
    </row>
    <row r="127" spans="1:15" s="65" customFormat="1" ht="15.75" x14ac:dyDescent="0.25">
      <c r="A127" s="103" t="s">
        <v>3</v>
      </c>
      <c r="B127" s="104"/>
      <c r="C127" s="105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1:15" s="65" customFormat="1" ht="8.1" customHeight="1" thickBot="1" x14ac:dyDescent="0.25">
      <c r="A128" s="106"/>
      <c r="B128" s="107"/>
      <c r="C128" s="108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1:12" s="65" customFormat="1" ht="8.1" customHeight="1" x14ac:dyDescent="0.2">
      <c r="A129" s="109"/>
      <c r="B129" s="110"/>
      <c r="C129" s="111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1:12" s="65" customFormat="1" ht="15.95" customHeight="1" x14ac:dyDescent="0.2">
      <c r="A130" s="112" t="s">
        <v>90</v>
      </c>
      <c r="B130" s="113"/>
      <c r="C130" s="114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1:12" s="65" customFormat="1" ht="15.95" customHeight="1" x14ac:dyDescent="0.2">
      <c r="A131" s="115" t="s">
        <v>229</v>
      </c>
      <c r="B131" s="113"/>
      <c r="C131" s="61">
        <f>198363.1+404138.05-4196.85</f>
        <v>598304.30000000005</v>
      </c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1:12" s="65" customFormat="1" ht="15.95" customHeight="1" x14ac:dyDescent="0.2">
      <c r="A132" s="115" t="s">
        <v>91</v>
      </c>
      <c r="B132" s="113"/>
      <c r="C132" s="61">
        <f>+K20</f>
        <v>3015675.2</v>
      </c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1:12" s="65" customFormat="1" ht="15.95" customHeight="1" x14ac:dyDescent="0.2">
      <c r="A133" s="115" t="s">
        <v>92</v>
      </c>
      <c r="B133" s="113"/>
      <c r="C133" s="116">
        <f>-K123</f>
        <v>-2656546.8899999997</v>
      </c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1:12" s="65" customFormat="1" ht="15.95" customHeight="1" x14ac:dyDescent="0.25">
      <c r="A134" s="117" t="s">
        <v>93</v>
      </c>
      <c r="B134" s="118"/>
      <c r="C134" s="119">
        <f>SUM(C131:C133)</f>
        <v>957432.61000000034</v>
      </c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1:12" s="65" customFormat="1" ht="8.1" customHeight="1" x14ac:dyDescent="0.25">
      <c r="A135" s="117"/>
      <c r="B135" s="118"/>
      <c r="C135" s="119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1:12" s="65" customFormat="1" ht="15.95" customHeight="1" x14ac:dyDescent="0.2">
      <c r="A136" s="112" t="s">
        <v>94</v>
      </c>
      <c r="B136" s="113"/>
      <c r="C136" s="61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1:12" s="65" customFormat="1" ht="15.95" customHeight="1" x14ac:dyDescent="0.2">
      <c r="A137" s="115" t="s">
        <v>95</v>
      </c>
      <c r="B137" s="113"/>
      <c r="C137" s="61">
        <v>3448.87</v>
      </c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1:12" s="65" customFormat="1" ht="15.95" customHeight="1" x14ac:dyDescent="0.2">
      <c r="A138" s="115" t="s">
        <v>280</v>
      </c>
      <c r="B138" s="113"/>
      <c r="C138" s="61">
        <v>219.61</v>
      </c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1:12" s="65" customFormat="1" ht="15.95" customHeight="1" x14ac:dyDescent="0.2">
      <c r="A139" s="115" t="s">
        <v>97</v>
      </c>
      <c r="B139" s="113"/>
      <c r="C139" s="61">
        <f>12441.12-219.61-3448.87</f>
        <v>8772.64</v>
      </c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1:12" s="65" customFormat="1" ht="5.0999999999999996" customHeight="1" x14ac:dyDescent="0.2">
      <c r="A140" s="115"/>
      <c r="B140" s="113"/>
      <c r="C140" s="116"/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1:12" s="65" customFormat="1" ht="15.75" x14ac:dyDescent="0.25">
      <c r="A141" s="117"/>
      <c r="B141" s="118"/>
      <c r="C141" s="119">
        <f>SUM(C136:C140)</f>
        <v>12441.119999999999</v>
      </c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1:12" s="65" customFormat="1" ht="5.0999999999999996" customHeight="1" x14ac:dyDescent="0.25">
      <c r="A142" s="117"/>
      <c r="B142" s="118"/>
      <c r="C142" s="120"/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1:12" s="65" customFormat="1" ht="8.1" customHeight="1" x14ac:dyDescent="0.25">
      <c r="A143" s="117"/>
      <c r="B143" s="118"/>
      <c r="C143" s="119"/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1:12" s="65" customFormat="1" ht="16.5" thickBot="1" x14ac:dyDescent="0.3">
      <c r="A144" s="121" t="s">
        <v>285</v>
      </c>
      <c r="B144" s="122"/>
      <c r="C144" s="123">
        <f>C134+C141</f>
        <v>969873.73000000033</v>
      </c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1:12" s="65" customFormat="1" ht="15" x14ac:dyDescent="0.2">
      <c r="A145" s="65" t="s">
        <v>277</v>
      </c>
      <c r="C145" s="99">
        <f>969873.73-C144</f>
        <v>0</v>
      </c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1:12" s="65" customFormat="1" ht="15" x14ac:dyDescent="0.2">
      <c r="C146" s="97"/>
    </row>
    <row r="147" spans="1:12" s="65" customFormat="1" ht="15" x14ac:dyDescent="0.2">
      <c r="B147" s="65" t="s">
        <v>286</v>
      </c>
    </row>
    <row r="148" spans="1:12" s="65" customFormat="1" ht="15" x14ac:dyDescent="0.2"/>
    <row r="149" spans="1:12" s="65" customFormat="1" ht="15" x14ac:dyDescent="0.2"/>
    <row r="150" spans="1:12" s="65" customFormat="1" ht="15" x14ac:dyDescent="0.2"/>
    <row r="151" spans="1:12" s="65" customFormat="1" ht="15" x14ac:dyDescent="0.2"/>
    <row r="152" spans="1:12" s="65" customFormat="1" ht="15" x14ac:dyDescent="0.2"/>
    <row r="153" spans="1:12" s="65" customFormat="1" ht="15" x14ac:dyDescent="0.2">
      <c r="B153" s="65" t="s">
        <v>98</v>
      </c>
      <c r="F153" s="65" t="s">
        <v>99</v>
      </c>
      <c r="I153" s="124" t="s">
        <v>104</v>
      </c>
    </row>
    <row r="154" spans="1:12" s="65" customFormat="1" ht="15" x14ac:dyDescent="0.2">
      <c r="B154" s="65" t="s">
        <v>100</v>
      </c>
      <c r="F154" s="65" t="s">
        <v>101</v>
      </c>
      <c r="I154" s="124" t="s">
        <v>105</v>
      </c>
    </row>
    <row r="162" spans="7:7" x14ac:dyDescent="0.2">
      <c r="G162" s="130"/>
    </row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9370078740157483" footer="0.39370078740157483"/>
  <pageSetup scale="61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showGridLines="0" topLeftCell="A124" zoomScale="85" zoomScaleNormal="85" workbookViewId="0">
      <selection activeCell="C145" sqref="C145"/>
    </sheetView>
  </sheetViews>
  <sheetFormatPr baseColWidth="10" defaultRowHeight="14.25" x14ac:dyDescent="0.2"/>
  <cols>
    <col min="1" max="1" width="11.7109375" style="66" customWidth="1"/>
    <col min="2" max="2" width="48.7109375" style="66" customWidth="1"/>
    <col min="3" max="3" width="16.28515625" style="66" customWidth="1"/>
    <col min="4" max="9" width="15.7109375" style="66" customWidth="1"/>
    <col min="10" max="10" width="16.28515625" style="66" customWidth="1"/>
    <col min="11" max="11" width="15.7109375" style="66" customWidth="1"/>
    <col min="12" max="12" width="16.28515625" style="66" customWidth="1"/>
    <col min="13" max="13" width="10.7109375" style="66" customWidth="1"/>
    <col min="14" max="14" width="7" style="66" customWidth="1"/>
    <col min="15" max="15" width="18.7109375" style="66" customWidth="1"/>
    <col min="16" max="16384" width="11.42578125" style="66"/>
  </cols>
  <sheetData>
    <row r="1" spans="1:15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</row>
    <row r="2" spans="1:15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</row>
    <row r="3" spans="1:15" ht="15.75" x14ac:dyDescent="0.25">
      <c r="A3" s="64" t="s">
        <v>290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</row>
    <row r="4" spans="1:15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5"/>
    </row>
    <row r="5" spans="1:15" ht="15.7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6.5" thickBot="1" x14ac:dyDescent="0.3">
      <c r="A6" s="67" t="s">
        <v>102</v>
      </c>
      <c r="B6" s="181" t="s">
        <v>5</v>
      </c>
      <c r="C6" s="68" t="s">
        <v>6</v>
      </c>
      <c r="D6" s="69" t="s">
        <v>7</v>
      </c>
      <c r="E6" s="69"/>
      <c r="F6" s="69" t="s">
        <v>8</v>
      </c>
      <c r="G6" s="69"/>
      <c r="H6" s="69" t="s">
        <v>8</v>
      </c>
      <c r="I6" s="69"/>
      <c r="J6" s="67" t="s">
        <v>6</v>
      </c>
      <c r="K6" s="183" t="s">
        <v>10</v>
      </c>
      <c r="L6" s="67" t="s">
        <v>11</v>
      </c>
      <c r="M6" s="68" t="s">
        <v>12</v>
      </c>
      <c r="N6" s="65"/>
      <c r="O6" s="65"/>
    </row>
    <row r="7" spans="1:15" ht="16.5" thickBot="1" x14ac:dyDescent="0.3">
      <c r="A7" s="70" t="s">
        <v>103</v>
      </c>
      <c r="B7" s="182"/>
      <c r="C7" s="70" t="s">
        <v>13</v>
      </c>
      <c r="D7" s="70" t="s">
        <v>14</v>
      </c>
      <c r="E7" s="70" t="s">
        <v>15</v>
      </c>
      <c r="F7" s="70" t="s">
        <v>14</v>
      </c>
      <c r="G7" s="70" t="s">
        <v>15</v>
      </c>
      <c r="H7" s="70" t="s">
        <v>14</v>
      </c>
      <c r="I7" s="70" t="s">
        <v>15</v>
      </c>
      <c r="J7" s="70" t="s">
        <v>16</v>
      </c>
      <c r="K7" s="184"/>
      <c r="L7" s="70" t="s">
        <v>17</v>
      </c>
      <c r="M7" s="71" t="s">
        <v>18</v>
      </c>
      <c r="N7" s="65"/>
      <c r="O7" s="65"/>
    </row>
    <row r="8" spans="1:15" s="113" customFormat="1" ht="8.1" customHeight="1" x14ac:dyDescent="0.2">
      <c r="A8" s="91"/>
      <c r="B8" s="9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91"/>
    </row>
    <row r="9" spans="1:15" s="113" customFormat="1" ht="17.100000000000001" customHeight="1" x14ac:dyDescent="0.25">
      <c r="A9" s="73"/>
      <c r="B9" s="74" t="s">
        <v>19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3"/>
    </row>
    <row r="10" spans="1:15" s="65" customFormat="1" ht="17.100000000000001" customHeight="1" x14ac:dyDescent="0.25">
      <c r="A10" s="72"/>
      <c r="B10" s="76" t="s">
        <v>20</v>
      </c>
      <c r="C10" s="77">
        <f>198363.1+404138.05</f>
        <v>602501.15</v>
      </c>
      <c r="D10" s="77"/>
      <c r="E10" s="77">
        <v>4196.8500000000004</v>
      </c>
      <c r="F10" s="77"/>
      <c r="G10" s="77"/>
      <c r="H10" s="77"/>
      <c r="I10" s="77"/>
      <c r="J10" s="77">
        <f>C10+D10-E10+F10-G10+H10-I10</f>
        <v>598304.30000000005</v>
      </c>
      <c r="K10" s="77">
        <v>0</v>
      </c>
      <c r="L10" s="77">
        <f>J10-K10</f>
        <v>598304.30000000005</v>
      </c>
      <c r="M10" s="78">
        <f>K10/$K$20</f>
        <v>0</v>
      </c>
    </row>
    <row r="11" spans="1:15" s="65" customFormat="1" ht="17.100000000000001" customHeight="1" x14ac:dyDescent="0.2">
      <c r="A11" s="72" t="s">
        <v>241</v>
      </c>
      <c r="B11" s="72" t="s">
        <v>265</v>
      </c>
      <c r="C11" s="77">
        <v>15000</v>
      </c>
      <c r="D11" s="77">
        <v>13000</v>
      </c>
      <c r="E11" s="77"/>
      <c r="F11" s="77">
        <v>12500</v>
      </c>
      <c r="G11" s="77"/>
      <c r="H11" s="77"/>
      <c r="I11" s="77"/>
      <c r="J11" s="77">
        <f>C11+D11-E11+F11-G11+H11-I11</f>
        <v>40500</v>
      </c>
      <c r="K11" s="77">
        <v>30432</v>
      </c>
      <c r="L11" s="77">
        <f>J11-K11</f>
        <v>10068</v>
      </c>
      <c r="M11" s="78">
        <f>K11/$K$20</f>
        <v>8.2559034470789661E-3</v>
      </c>
    </row>
    <row r="12" spans="1:15" s="65" customFormat="1" ht="17.100000000000001" customHeight="1" x14ac:dyDescent="0.2">
      <c r="A12" s="72" t="s">
        <v>242</v>
      </c>
      <c r="B12" s="72" t="s">
        <v>266</v>
      </c>
      <c r="C12" s="77">
        <v>65000</v>
      </c>
      <c r="D12" s="77"/>
      <c r="E12" s="77"/>
      <c r="F12" s="77"/>
      <c r="G12" s="77"/>
      <c r="H12" s="77"/>
      <c r="I12" s="77"/>
      <c r="J12" s="77">
        <f t="shared" ref="J12:J19" si="0">C12+D12-E12+F12-G12+H12-I12</f>
        <v>65000</v>
      </c>
      <c r="K12" s="77">
        <v>58710.559999999998</v>
      </c>
      <c r="L12" s="77">
        <f t="shared" ref="L12:L14" si="1">J12-K12</f>
        <v>6289.4400000000023</v>
      </c>
      <c r="M12" s="78">
        <f t="shared" ref="M12:M19" si="2">K12/$K$20</f>
        <v>1.59275997201609E-2</v>
      </c>
    </row>
    <row r="13" spans="1:15" s="65" customFormat="1" ht="17.100000000000001" customHeight="1" x14ac:dyDescent="0.2">
      <c r="A13" s="79" t="s">
        <v>243</v>
      </c>
      <c r="B13" s="72" t="s">
        <v>267</v>
      </c>
      <c r="C13" s="77">
        <v>3500</v>
      </c>
      <c r="D13" s="77"/>
      <c r="E13" s="77"/>
      <c r="F13" s="77"/>
      <c r="G13" s="77"/>
      <c r="H13" s="77"/>
      <c r="I13" s="77"/>
      <c r="J13" s="77">
        <f t="shared" si="0"/>
        <v>3500</v>
      </c>
      <c r="K13" s="77">
        <v>0</v>
      </c>
      <c r="L13" s="77">
        <f t="shared" si="1"/>
        <v>3500</v>
      </c>
      <c r="M13" s="78">
        <f t="shared" si="2"/>
        <v>0</v>
      </c>
    </row>
    <row r="14" spans="1:15" s="65" customFormat="1" ht="17.100000000000001" customHeight="1" x14ac:dyDescent="0.2">
      <c r="A14" s="79">
        <v>15.1</v>
      </c>
      <c r="B14" s="72" t="s">
        <v>247</v>
      </c>
      <c r="C14" s="77">
        <v>3000</v>
      </c>
      <c r="D14" s="77"/>
      <c r="E14" s="77"/>
      <c r="F14" s="77"/>
      <c r="G14" s="77"/>
      <c r="H14" s="77"/>
      <c r="I14" s="77"/>
      <c r="J14" s="77">
        <f t="shared" si="0"/>
        <v>3000</v>
      </c>
      <c r="K14" s="77">
        <v>651.9</v>
      </c>
      <c r="L14" s="77">
        <f t="shared" si="1"/>
        <v>2348.1</v>
      </c>
      <c r="M14" s="78">
        <f t="shared" si="2"/>
        <v>1.768540831082669E-4</v>
      </c>
    </row>
    <row r="15" spans="1:15" s="65" customFormat="1" ht="17.100000000000001" customHeight="1" x14ac:dyDescent="0.2">
      <c r="A15" s="72" t="s">
        <v>24</v>
      </c>
      <c r="B15" s="72" t="s">
        <v>25</v>
      </c>
      <c r="C15" s="77">
        <v>2745062.93</v>
      </c>
      <c r="D15" s="77">
        <v>95966.17</v>
      </c>
      <c r="E15" s="77"/>
      <c r="F15" s="77"/>
      <c r="G15" s="77"/>
      <c r="H15" s="77"/>
      <c r="I15" s="77"/>
      <c r="J15" s="77">
        <f t="shared" si="0"/>
        <v>2841029.1</v>
      </c>
      <c r="K15" s="77">
        <v>1586859.82</v>
      </c>
      <c r="L15" s="77">
        <f>J15-K15</f>
        <v>1254169.28</v>
      </c>
      <c r="M15" s="78">
        <f t="shared" si="2"/>
        <v>0.43049952214672416</v>
      </c>
    </row>
    <row r="16" spans="1:15" s="65" customFormat="1" ht="17.100000000000001" customHeight="1" x14ac:dyDescent="0.2">
      <c r="A16" s="72" t="s">
        <v>26</v>
      </c>
      <c r="B16" s="72" t="s">
        <v>27</v>
      </c>
      <c r="C16" s="77">
        <v>4934974.71</v>
      </c>
      <c r="D16" s="77"/>
      <c r="E16" s="77"/>
      <c r="F16" s="77"/>
      <c r="G16" s="77"/>
      <c r="H16" s="77"/>
      <c r="I16" s="77"/>
      <c r="J16" s="77">
        <f t="shared" si="0"/>
        <v>4934974.71</v>
      </c>
      <c r="K16" s="77">
        <v>0</v>
      </c>
      <c r="L16" s="77">
        <f t="shared" ref="L16:L19" si="3">J16-K16</f>
        <v>4934974.71</v>
      </c>
      <c r="M16" s="78">
        <f t="shared" si="2"/>
        <v>0</v>
      </c>
    </row>
    <row r="17" spans="1:13" s="65" customFormat="1" ht="17.100000000000001" customHeight="1" x14ac:dyDescent="0.2">
      <c r="A17" s="72" t="s">
        <v>28</v>
      </c>
      <c r="B17" s="72" t="s">
        <v>29</v>
      </c>
      <c r="C17" s="77">
        <v>1290000</v>
      </c>
      <c r="D17" s="77"/>
      <c r="E17" s="77">
        <v>8059.23</v>
      </c>
      <c r="F17" s="77">
        <v>242187</v>
      </c>
      <c r="G17" s="77"/>
      <c r="H17" s="77">
        <v>240000</v>
      </c>
      <c r="I17" s="77"/>
      <c r="J17" s="77">
        <f t="shared" si="0"/>
        <v>1764127.77</v>
      </c>
      <c r="K17" s="77">
        <v>1234649.53</v>
      </c>
      <c r="L17" s="77">
        <f t="shared" si="3"/>
        <v>529478.24</v>
      </c>
      <c r="M17" s="78">
        <f t="shared" si="2"/>
        <v>0.33494832119681345</v>
      </c>
    </row>
    <row r="18" spans="1:13" s="65" customFormat="1" ht="17.100000000000001" customHeight="1" x14ac:dyDescent="0.2">
      <c r="A18" s="72" t="s">
        <v>30</v>
      </c>
      <c r="B18" s="72" t="s">
        <v>31</v>
      </c>
      <c r="C18" s="77">
        <v>20000</v>
      </c>
      <c r="D18" s="77"/>
      <c r="E18" s="77"/>
      <c r="F18" s="77"/>
      <c r="G18" s="77"/>
      <c r="H18" s="77"/>
      <c r="I18" s="77"/>
      <c r="J18" s="77">
        <f t="shared" si="0"/>
        <v>20000</v>
      </c>
      <c r="K18" s="77">
        <v>0</v>
      </c>
      <c r="L18" s="77">
        <f t="shared" si="3"/>
        <v>20000</v>
      </c>
      <c r="M18" s="78">
        <f t="shared" si="2"/>
        <v>0</v>
      </c>
    </row>
    <row r="19" spans="1:13" s="65" customFormat="1" ht="17.100000000000001" customHeight="1" thickBot="1" x14ac:dyDescent="0.25">
      <c r="A19" s="72"/>
      <c r="B19" s="72" t="s">
        <v>32</v>
      </c>
      <c r="C19" s="77">
        <f>850000+14137.2+261097.2</f>
        <v>1125234.3999999999</v>
      </c>
      <c r="D19" s="77"/>
      <c r="E19" s="77"/>
      <c r="F19" s="77"/>
      <c r="G19" s="77"/>
      <c r="H19" s="77"/>
      <c r="I19" s="77"/>
      <c r="J19" s="77">
        <f t="shared" si="0"/>
        <v>1125234.3999999999</v>
      </c>
      <c r="K19" s="77">
        <v>774785.81</v>
      </c>
      <c r="L19" s="77">
        <f t="shared" si="3"/>
        <v>350448.58999999985</v>
      </c>
      <c r="M19" s="78">
        <f t="shared" si="2"/>
        <v>0.21019179940611429</v>
      </c>
    </row>
    <row r="20" spans="1:13" s="65" customFormat="1" ht="17.100000000000001" customHeight="1" thickBot="1" x14ac:dyDescent="0.3">
      <c r="A20" s="80"/>
      <c r="B20" s="80" t="s">
        <v>33</v>
      </c>
      <c r="C20" s="81">
        <f>SUM(C10:C19)</f>
        <v>10804273.189999999</v>
      </c>
      <c r="D20" s="81">
        <f t="shared" ref="D20:E20" si="4">SUM(D10:D19)</f>
        <v>108966.17</v>
      </c>
      <c r="E20" s="81">
        <f t="shared" si="4"/>
        <v>12256.08</v>
      </c>
      <c r="F20" s="81">
        <f t="shared" ref="F20:I20" si="5">SUM(F11:F18)</f>
        <v>254687</v>
      </c>
      <c r="G20" s="81">
        <f t="shared" si="5"/>
        <v>0</v>
      </c>
      <c r="H20" s="81">
        <f t="shared" si="5"/>
        <v>240000</v>
      </c>
      <c r="I20" s="81">
        <f t="shared" si="5"/>
        <v>0</v>
      </c>
      <c r="J20" s="81">
        <f>SUM(J10:J19)</f>
        <v>11395670.279999999</v>
      </c>
      <c r="K20" s="81">
        <f>SUM(K10:K19)</f>
        <v>3686089.62</v>
      </c>
      <c r="L20" s="81">
        <f>SUM(L10:L19)</f>
        <v>7709580.6600000001</v>
      </c>
      <c r="M20" s="82">
        <v>0</v>
      </c>
    </row>
    <row r="21" spans="1:13" s="113" customFormat="1" ht="8.1" customHeight="1" x14ac:dyDescent="0.2">
      <c r="A21" s="126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8"/>
    </row>
    <row r="22" spans="1:13" s="113" customFormat="1" ht="17.100000000000001" customHeight="1" x14ac:dyDescent="0.25">
      <c r="A22" s="129" t="s">
        <v>4</v>
      </c>
      <c r="B22" s="74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3" s="65" customFormat="1" ht="17.100000000000001" customHeight="1" x14ac:dyDescent="0.25">
      <c r="A23" s="76"/>
      <c r="B23" s="8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s="65" customFormat="1" ht="17.100000000000001" customHeight="1" x14ac:dyDescent="0.25">
      <c r="A24" s="86">
        <v>0</v>
      </c>
      <c r="B24" s="87" t="s">
        <v>35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s="65" customFormat="1" ht="17.100000000000001" customHeight="1" x14ac:dyDescent="0.2">
      <c r="A25" s="88" t="s">
        <v>36</v>
      </c>
      <c r="B25" s="72" t="s">
        <v>106</v>
      </c>
      <c r="C25" s="77">
        <v>773194.52</v>
      </c>
      <c r="D25" s="77"/>
      <c r="E25" s="77"/>
      <c r="F25" s="77"/>
      <c r="G25" s="77"/>
      <c r="H25" s="77"/>
      <c r="I25" s="77"/>
      <c r="J25" s="77">
        <f t="shared" ref="J25:J36" si="6">C25+D25-E25+F25-G25+H25-I25</f>
        <v>773194.52</v>
      </c>
      <c r="K25" s="77">
        <v>422131.72</v>
      </c>
      <c r="L25" s="77">
        <f t="shared" ref="L25:L88" si="7">J25-K25</f>
        <v>351062.80000000005</v>
      </c>
      <c r="M25" s="78">
        <f t="shared" ref="M25:M36" si="8">K25/$K$123</f>
        <v>0.12488181272805228</v>
      </c>
    </row>
    <row r="26" spans="1:13" s="65" customFormat="1" ht="17.100000000000001" customHeight="1" x14ac:dyDescent="0.2">
      <c r="A26" s="88" t="s">
        <v>37</v>
      </c>
      <c r="B26" s="72" t="s">
        <v>107</v>
      </c>
      <c r="C26" s="77">
        <v>4500</v>
      </c>
      <c r="D26" s="77"/>
      <c r="E26" s="77"/>
      <c r="F26" s="77"/>
      <c r="G26" s="77"/>
      <c r="H26" s="77"/>
      <c r="I26" s="77"/>
      <c r="J26" s="77">
        <f t="shared" si="6"/>
        <v>4500</v>
      </c>
      <c r="K26" s="77">
        <v>2625</v>
      </c>
      <c r="L26" s="77">
        <f t="shared" si="7"/>
        <v>1875</v>
      </c>
      <c r="M26" s="78">
        <f t="shared" si="8"/>
        <v>7.7656983088391762E-4</v>
      </c>
    </row>
    <row r="27" spans="1:13" s="65" customFormat="1" ht="17.100000000000001" customHeight="1" x14ac:dyDescent="0.2">
      <c r="A27" s="88" t="s">
        <v>38</v>
      </c>
      <c r="B27" s="72" t="s">
        <v>108</v>
      </c>
      <c r="C27" s="77">
        <v>140850</v>
      </c>
      <c r="D27" s="77"/>
      <c r="E27" s="77"/>
      <c r="F27" s="77"/>
      <c r="G27" s="77"/>
      <c r="H27" s="77">
        <v>20000</v>
      </c>
      <c r="I27" s="77"/>
      <c r="J27" s="77">
        <f t="shared" si="6"/>
        <v>160850</v>
      </c>
      <c r="K27" s="77">
        <v>76000</v>
      </c>
      <c r="L27" s="77">
        <f t="shared" si="7"/>
        <v>84850</v>
      </c>
      <c r="M27" s="78">
        <f t="shared" si="8"/>
        <v>2.2483545579877234E-2</v>
      </c>
    </row>
    <row r="28" spans="1:13" s="65" customFormat="1" ht="17.100000000000001" customHeight="1" x14ac:dyDescent="0.2">
      <c r="A28" s="131" t="s">
        <v>281</v>
      </c>
      <c r="B28" s="72" t="s">
        <v>282</v>
      </c>
      <c r="C28" s="77">
        <v>0</v>
      </c>
      <c r="D28" s="77"/>
      <c r="E28" s="77"/>
      <c r="F28" s="77">
        <v>79750</v>
      </c>
      <c r="G28" s="77"/>
      <c r="H28" s="77"/>
      <c r="I28" s="77"/>
      <c r="J28" s="77">
        <f t="shared" si="6"/>
        <v>79750</v>
      </c>
      <c r="K28" s="77">
        <v>5580.65</v>
      </c>
      <c r="L28" s="77">
        <f t="shared" si="7"/>
        <v>74169.350000000006</v>
      </c>
      <c r="M28" s="78">
        <f t="shared" si="8"/>
        <v>1.6509578768466038E-3</v>
      </c>
    </row>
    <row r="29" spans="1:13" s="65" customFormat="1" ht="17.100000000000001" customHeight="1" x14ac:dyDescent="0.2">
      <c r="A29" s="88" t="s">
        <v>40</v>
      </c>
      <c r="B29" s="72" t="s">
        <v>283</v>
      </c>
      <c r="C29" s="77">
        <v>0</v>
      </c>
      <c r="D29" s="77"/>
      <c r="E29" s="77"/>
      <c r="F29" s="77">
        <v>3250</v>
      </c>
      <c r="G29" s="77"/>
      <c r="H29" s="77"/>
      <c r="I29" s="77"/>
      <c r="J29" s="77">
        <f t="shared" si="6"/>
        <v>3250</v>
      </c>
      <c r="K29" s="77">
        <v>298.39</v>
      </c>
      <c r="L29" s="77">
        <f t="shared" si="7"/>
        <v>2951.61</v>
      </c>
      <c r="M29" s="78">
        <f t="shared" si="8"/>
        <v>8.8274541652362735E-5</v>
      </c>
    </row>
    <row r="30" spans="1:13" s="65" customFormat="1" ht="17.100000000000001" customHeight="1" x14ac:dyDescent="0.2">
      <c r="A30" s="88" t="s">
        <v>41</v>
      </c>
      <c r="B30" s="72" t="s">
        <v>110</v>
      </c>
      <c r="C30" s="77">
        <v>15400</v>
      </c>
      <c r="D30" s="77"/>
      <c r="E30" s="77"/>
      <c r="F30" s="77"/>
      <c r="G30" s="77"/>
      <c r="H30" s="77"/>
      <c r="I30" s="77"/>
      <c r="J30" s="77">
        <f t="shared" si="6"/>
        <v>15400</v>
      </c>
      <c r="K30" s="77">
        <v>13852.64</v>
      </c>
      <c r="L30" s="77">
        <f t="shared" si="7"/>
        <v>1547.3600000000006</v>
      </c>
      <c r="M30" s="78">
        <f t="shared" si="8"/>
        <v>4.0981113531793492E-3</v>
      </c>
    </row>
    <row r="31" spans="1:13" s="65" customFormat="1" ht="17.100000000000001" customHeight="1" x14ac:dyDescent="0.2">
      <c r="A31" s="88" t="s">
        <v>42</v>
      </c>
      <c r="B31" s="72" t="s">
        <v>111</v>
      </c>
      <c r="C31" s="77">
        <v>42629.35</v>
      </c>
      <c r="D31" s="77"/>
      <c r="E31" s="77"/>
      <c r="F31" s="77"/>
      <c r="G31" s="77"/>
      <c r="H31" s="77">
        <v>25000</v>
      </c>
      <c r="I31" s="77"/>
      <c r="J31" s="77">
        <f t="shared" si="6"/>
        <v>67629.350000000006</v>
      </c>
      <c r="K31" s="77">
        <v>30991.159999999996</v>
      </c>
      <c r="L31" s="77">
        <f t="shared" si="7"/>
        <v>36638.19000000001</v>
      </c>
      <c r="M31" s="78">
        <f t="shared" si="8"/>
        <v>9.1683047162272116E-3</v>
      </c>
    </row>
    <row r="32" spans="1:13" s="65" customFormat="1" ht="17.100000000000001" customHeight="1" x14ac:dyDescent="0.2">
      <c r="A32" s="88" t="s">
        <v>43</v>
      </c>
      <c r="B32" s="72" t="s">
        <v>234</v>
      </c>
      <c r="C32" s="77">
        <v>89741</v>
      </c>
      <c r="D32" s="77"/>
      <c r="E32" s="77"/>
      <c r="F32" s="77"/>
      <c r="G32" s="77"/>
      <c r="H32" s="77">
        <v>3500</v>
      </c>
      <c r="I32" s="77"/>
      <c r="J32" s="77">
        <f t="shared" si="6"/>
        <v>93241</v>
      </c>
      <c r="K32" s="77">
        <v>40681.380000000005</v>
      </c>
      <c r="L32" s="77">
        <f t="shared" si="7"/>
        <v>52559.619999999995</v>
      </c>
      <c r="M32" s="78">
        <f t="shared" si="8"/>
        <v>1.2035021861609293E-2</v>
      </c>
    </row>
    <row r="33" spans="1:15" ht="17.100000000000001" customHeight="1" x14ac:dyDescent="0.2">
      <c r="A33" s="88" t="s">
        <v>44</v>
      </c>
      <c r="B33" s="72" t="s">
        <v>235</v>
      </c>
      <c r="C33" s="77">
        <v>7478.416666666667</v>
      </c>
      <c r="D33" s="77"/>
      <c r="E33" s="77"/>
      <c r="F33" s="77"/>
      <c r="G33" s="77"/>
      <c r="H33" s="77">
        <v>2000</v>
      </c>
      <c r="I33" s="77"/>
      <c r="J33" s="77">
        <f t="shared" si="6"/>
        <v>9478.4166666666679</v>
      </c>
      <c r="K33" s="77">
        <v>3812.6800000000003</v>
      </c>
      <c r="L33" s="77">
        <f t="shared" si="7"/>
        <v>5665.7366666666676</v>
      </c>
      <c r="M33" s="78">
        <f t="shared" si="8"/>
        <v>1.1279284810721886E-3</v>
      </c>
      <c r="N33" s="65"/>
      <c r="O33" s="65"/>
    </row>
    <row r="34" spans="1:15" ht="17.100000000000001" customHeight="1" x14ac:dyDescent="0.2">
      <c r="A34" s="88" t="s">
        <v>45</v>
      </c>
      <c r="B34" s="72" t="s">
        <v>46</v>
      </c>
      <c r="C34" s="77">
        <v>64432.876666666663</v>
      </c>
      <c r="D34" s="77"/>
      <c r="E34" s="77"/>
      <c r="F34" s="77"/>
      <c r="G34" s="77"/>
      <c r="H34" s="77">
        <v>12000</v>
      </c>
      <c r="I34" s="77"/>
      <c r="J34" s="77">
        <f t="shared" si="6"/>
        <v>76432.876666666663</v>
      </c>
      <c r="K34" s="77">
        <v>424.66</v>
      </c>
      <c r="L34" s="77">
        <f t="shared" si="7"/>
        <v>76008.21666666666</v>
      </c>
      <c r="M34" s="78">
        <f t="shared" si="8"/>
        <v>1.2562976928882458E-4</v>
      </c>
      <c r="N34" s="65"/>
      <c r="O34" s="65"/>
    </row>
    <row r="35" spans="1:15" ht="17.100000000000001" customHeight="1" x14ac:dyDescent="0.2">
      <c r="A35" s="88" t="s">
        <v>47</v>
      </c>
      <c r="B35" s="72" t="s">
        <v>114</v>
      </c>
      <c r="C35" s="77">
        <v>64432.876666666663</v>
      </c>
      <c r="D35" s="77"/>
      <c r="E35" s="77"/>
      <c r="F35" s="77"/>
      <c r="G35" s="77"/>
      <c r="H35" s="77">
        <v>6000</v>
      </c>
      <c r="I35" s="77"/>
      <c r="J35" s="77">
        <f t="shared" si="6"/>
        <v>70432.876666666663</v>
      </c>
      <c r="K35" s="77">
        <v>63232.530000000006</v>
      </c>
      <c r="L35" s="77">
        <f t="shared" si="7"/>
        <v>7200.3466666666573</v>
      </c>
      <c r="M35" s="78">
        <f t="shared" si="8"/>
        <v>1.8706466715604667E-2</v>
      </c>
      <c r="N35" s="65"/>
      <c r="O35" s="65"/>
    </row>
    <row r="36" spans="1:15" ht="17.100000000000001" customHeight="1" x14ac:dyDescent="0.2">
      <c r="A36" s="88" t="s">
        <v>48</v>
      </c>
      <c r="B36" s="72" t="s">
        <v>49</v>
      </c>
      <c r="C36" s="77">
        <v>4000</v>
      </c>
      <c r="D36" s="77"/>
      <c r="E36" s="77"/>
      <c r="F36" s="77"/>
      <c r="G36" s="77"/>
      <c r="H36" s="77">
        <v>5500</v>
      </c>
      <c r="I36" s="77"/>
      <c r="J36" s="77">
        <f t="shared" si="6"/>
        <v>9500</v>
      </c>
      <c r="K36" s="77">
        <v>0</v>
      </c>
      <c r="L36" s="77">
        <f t="shared" si="7"/>
        <v>9500</v>
      </c>
      <c r="M36" s="78">
        <f t="shared" si="8"/>
        <v>0</v>
      </c>
      <c r="N36" s="65"/>
      <c r="O36" s="65"/>
    </row>
    <row r="37" spans="1:15" ht="17.100000000000001" customHeight="1" x14ac:dyDescent="0.2">
      <c r="A37" s="88"/>
      <c r="B37" s="7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65"/>
      <c r="O37" s="65"/>
    </row>
    <row r="38" spans="1:15" ht="17.100000000000001" customHeight="1" x14ac:dyDescent="0.25">
      <c r="A38" s="86">
        <v>1</v>
      </c>
      <c r="B38" s="87" t="s">
        <v>50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65"/>
      <c r="O38" s="65"/>
    </row>
    <row r="39" spans="1:15" ht="17.100000000000001" customHeight="1" x14ac:dyDescent="0.2">
      <c r="A39" s="88" t="s">
        <v>115</v>
      </c>
      <c r="B39" s="72" t="s">
        <v>51</v>
      </c>
      <c r="C39" s="77">
        <v>11723.320000000002</v>
      </c>
      <c r="D39" s="77"/>
      <c r="E39" s="77"/>
      <c r="F39" s="77"/>
      <c r="G39" s="77"/>
      <c r="H39" s="77"/>
      <c r="I39" s="77"/>
      <c r="J39" s="77">
        <f t="shared" ref="J39:J104" si="9">C39+D39-E39+F39-G39+H39-I39</f>
        <v>11723.320000000002</v>
      </c>
      <c r="K39" s="77">
        <v>4454.5599999999995</v>
      </c>
      <c r="L39" s="77">
        <f t="shared" si="7"/>
        <v>7268.760000000002</v>
      </c>
      <c r="M39" s="78">
        <f t="shared" ref="M39:M72" si="10">K39/$K$123</f>
        <v>1.3178197736618148E-3</v>
      </c>
      <c r="N39" s="65"/>
      <c r="O39" s="65"/>
    </row>
    <row r="40" spans="1:15" ht="17.100000000000001" customHeight="1" x14ac:dyDescent="0.2">
      <c r="A40" s="88" t="s">
        <v>116</v>
      </c>
      <c r="B40" s="72" t="s">
        <v>52</v>
      </c>
      <c r="C40" s="77">
        <v>24780</v>
      </c>
      <c r="D40" s="77"/>
      <c r="E40" s="77"/>
      <c r="F40" s="77"/>
      <c r="G40" s="77"/>
      <c r="H40" s="77"/>
      <c r="I40" s="77"/>
      <c r="J40" s="77">
        <f t="shared" si="9"/>
        <v>24780</v>
      </c>
      <c r="K40" s="77">
        <v>13411.5</v>
      </c>
      <c r="L40" s="77">
        <f t="shared" si="7"/>
        <v>11368.5</v>
      </c>
      <c r="M40" s="78">
        <f t="shared" si="10"/>
        <v>3.967606204533204E-3</v>
      </c>
      <c r="N40" s="65"/>
      <c r="O40" s="65"/>
    </row>
    <row r="41" spans="1:15" ht="17.100000000000001" customHeight="1" x14ac:dyDescent="0.2">
      <c r="A41" s="88" t="s">
        <v>117</v>
      </c>
      <c r="B41" s="72" t="s">
        <v>53</v>
      </c>
      <c r="C41" s="77">
        <v>2500</v>
      </c>
      <c r="D41" s="77"/>
      <c r="E41" s="77"/>
      <c r="F41" s="77"/>
      <c r="G41" s="77"/>
      <c r="H41" s="77"/>
      <c r="I41" s="77"/>
      <c r="J41" s="77">
        <f t="shared" si="9"/>
        <v>2500</v>
      </c>
      <c r="K41" s="77">
        <v>226</v>
      </c>
      <c r="L41" s="77">
        <f t="shared" si="7"/>
        <v>2274</v>
      </c>
      <c r="M41" s="78">
        <f t="shared" si="10"/>
        <v>6.6858964487529667E-5</v>
      </c>
      <c r="N41" s="65"/>
      <c r="O41" s="65"/>
    </row>
    <row r="42" spans="1:15" ht="17.100000000000001" customHeight="1" x14ac:dyDescent="0.2">
      <c r="A42" s="88" t="s">
        <v>118</v>
      </c>
      <c r="B42" s="72" t="s">
        <v>54</v>
      </c>
      <c r="C42" s="77">
        <v>4464</v>
      </c>
      <c r="D42" s="77">
        <v>1200</v>
      </c>
      <c r="E42" s="77"/>
      <c r="F42" s="77">
        <v>4500</v>
      </c>
      <c r="G42" s="77"/>
      <c r="H42" s="77"/>
      <c r="I42" s="77"/>
      <c r="J42" s="77">
        <f t="shared" si="9"/>
        <v>10164</v>
      </c>
      <c r="K42" s="77">
        <v>7519.04</v>
      </c>
      <c r="L42" s="77">
        <f t="shared" si="7"/>
        <v>2644.96</v>
      </c>
      <c r="M42" s="78">
        <f t="shared" si="10"/>
        <v>2.2244036652226333E-3</v>
      </c>
      <c r="N42" s="65"/>
      <c r="O42" s="65"/>
    </row>
    <row r="43" spans="1:15" ht="17.100000000000001" customHeight="1" x14ac:dyDescent="0.2">
      <c r="A43" s="88" t="s">
        <v>119</v>
      </c>
      <c r="B43" s="72" t="s">
        <v>120</v>
      </c>
      <c r="C43" s="77">
        <v>12200</v>
      </c>
      <c r="D43" s="77"/>
      <c r="E43" s="77"/>
      <c r="F43" s="77">
        <v>3500</v>
      </c>
      <c r="G43" s="77"/>
      <c r="H43" s="77"/>
      <c r="I43" s="77"/>
      <c r="J43" s="77">
        <f t="shared" si="9"/>
        <v>15700</v>
      </c>
      <c r="K43" s="77">
        <v>12349.5</v>
      </c>
      <c r="L43" s="77">
        <f t="shared" si="7"/>
        <v>3350.5</v>
      </c>
      <c r="M43" s="78">
        <f t="shared" si="10"/>
        <v>3.6534282386670252E-3</v>
      </c>
      <c r="N43" s="65"/>
      <c r="O43" s="65"/>
    </row>
    <row r="44" spans="1:15" ht="17.100000000000001" customHeight="1" x14ac:dyDescent="0.2">
      <c r="A44" s="88" t="s">
        <v>121</v>
      </c>
      <c r="B44" s="72" t="s">
        <v>122</v>
      </c>
      <c r="C44" s="77">
        <v>1218400</v>
      </c>
      <c r="D44" s="77">
        <v>64062.78</v>
      </c>
      <c r="E44" s="77"/>
      <c r="F44" s="77"/>
      <c r="G44" s="77"/>
      <c r="H44" s="77">
        <v>77500</v>
      </c>
      <c r="I44" s="77"/>
      <c r="J44" s="77">
        <f t="shared" si="9"/>
        <v>1359962.78</v>
      </c>
      <c r="K44" s="77">
        <v>742486.5</v>
      </c>
      <c r="L44" s="77">
        <f t="shared" si="7"/>
        <v>617476.28</v>
      </c>
      <c r="M44" s="78">
        <f t="shared" si="10"/>
        <v>0.21965432980517788</v>
      </c>
      <c r="N44" s="65"/>
      <c r="O44" s="65"/>
    </row>
    <row r="45" spans="1:15" ht="17.100000000000001" customHeight="1" x14ac:dyDescent="0.2">
      <c r="A45" s="88" t="s">
        <v>123</v>
      </c>
      <c r="B45" s="72" t="s">
        <v>124</v>
      </c>
      <c r="C45" s="77">
        <v>0</v>
      </c>
      <c r="D45" s="77"/>
      <c r="E45" s="77"/>
      <c r="F45" s="77"/>
      <c r="G45" s="77"/>
      <c r="H45" s="77"/>
      <c r="I45" s="77"/>
      <c r="J45" s="77">
        <f t="shared" si="9"/>
        <v>0</v>
      </c>
      <c r="K45" s="77">
        <v>0</v>
      </c>
      <c r="L45" s="77">
        <f t="shared" si="7"/>
        <v>0</v>
      </c>
      <c r="M45" s="78">
        <f t="shared" si="10"/>
        <v>0</v>
      </c>
      <c r="N45" s="65"/>
      <c r="O45" s="65"/>
    </row>
    <row r="46" spans="1:15" ht="17.100000000000001" customHeight="1" x14ac:dyDescent="0.2">
      <c r="A46" s="88" t="s">
        <v>125</v>
      </c>
      <c r="B46" s="72" t="s">
        <v>126</v>
      </c>
      <c r="C46" s="77">
        <v>0</v>
      </c>
      <c r="D46" s="77"/>
      <c r="E46" s="77"/>
      <c r="F46" s="77"/>
      <c r="G46" s="77"/>
      <c r="H46" s="77"/>
      <c r="I46" s="77"/>
      <c r="J46" s="77">
        <f t="shared" si="9"/>
        <v>0</v>
      </c>
      <c r="K46" s="77">
        <v>0</v>
      </c>
      <c r="L46" s="77">
        <f t="shared" si="7"/>
        <v>0</v>
      </c>
      <c r="M46" s="78">
        <f t="shared" si="10"/>
        <v>0</v>
      </c>
      <c r="N46" s="65"/>
      <c r="O46" s="65"/>
    </row>
    <row r="47" spans="1:15" ht="17.100000000000001" customHeight="1" x14ac:dyDescent="0.2">
      <c r="A47" s="88" t="s">
        <v>127</v>
      </c>
      <c r="B47" s="72" t="s">
        <v>55</v>
      </c>
      <c r="C47" s="77">
        <v>104664</v>
      </c>
      <c r="D47" s="77">
        <v>13644</v>
      </c>
      <c r="E47" s="77"/>
      <c r="F47" s="77"/>
      <c r="G47" s="77"/>
      <c r="H47" s="77"/>
      <c r="I47" s="77"/>
      <c r="J47" s="77">
        <f t="shared" si="9"/>
        <v>118308</v>
      </c>
      <c r="K47" s="77">
        <v>23791.230000000003</v>
      </c>
      <c r="L47" s="77">
        <f t="shared" si="7"/>
        <v>94516.76999999999</v>
      </c>
      <c r="M47" s="78">
        <f t="shared" si="10"/>
        <v>7.0383053171887205E-3</v>
      </c>
      <c r="N47" s="65"/>
      <c r="O47" s="65"/>
    </row>
    <row r="48" spans="1:15" ht="17.100000000000001" customHeight="1" x14ac:dyDescent="0.2">
      <c r="A48" s="88" t="s">
        <v>128</v>
      </c>
      <c r="B48" s="72" t="s">
        <v>237</v>
      </c>
      <c r="C48" s="77">
        <v>459374.84</v>
      </c>
      <c r="D48" s="77">
        <v>11548.31</v>
      </c>
      <c r="E48" s="77"/>
      <c r="F48" s="77"/>
      <c r="G48" s="77"/>
      <c r="H48" s="77"/>
      <c r="I48" s="77"/>
      <c r="J48" s="77">
        <f t="shared" si="9"/>
        <v>470923.15</v>
      </c>
      <c r="K48" s="77">
        <v>149292.44</v>
      </c>
      <c r="L48" s="77">
        <f t="shared" si="7"/>
        <v>321630.71000000002</v>
      </c>
      <c r="M48" s="78">
        <f t="shared" si="10"/>
        <v>4.4166097098303783E-2</v>
      </c>
      <c r="N48" s="65"/>
      <c r="O48" s="65"/>
    </row>
    <row r="49" spans="1:15" ht="17.100000000000001" customHeight="1" x14ac:dyDescent="0.2">
      <c r="A49" s="88" t="s">
        <v>130</v>
      </c>
      <c r="B49" s="72" t="s">
        <v>56</v>
      </c>
      <c r="C49" s="77">
        <v>9000</v>
      </c>
      <c r="D49" s="77"/>
      <c r="E49" s="77"/>
      <c r="F49" s="77"/>
      <c r="G49" s="77"/>
      <c r="H49" s="77">
        <v>7500</v>
      </c>
      <c r="I49" s="77"/>
      <c r="J49" s="77">
        <f t="shared" si="9"/>
        <v>16500</v>
      </c>
      <c r="K49" s="77">
        <v>6500</v>
      </c>
      <c r="L49" s="77">
        <f t="shared" si="7"/>
        <v>10000</v>
      </c>
      <c r="M49" s="78">
        <f t="shared" si="10"/>
        <v>1.9229348193316057E-3</v>
      </c>
      <c r="N49" s="65"/>
      <c r="O49" s="65"/>
    </row>
    <row r="50" spans="1:15" ht="17.100000000000001" customHeight="1" x14ac:dyDescent="0.2">
      <c r="A50" s="88" t="s">
        <v>131</v>
      </c>
      <c r="B50" s="72" t="s">
        <v>57</v>
      </c>
      <c r="C50" s="77">
        <v>25000</v>
      </c>
      <c r="D50" s="77"/>
      <c r="E50" s="77"/>
      <c r="F50" s="77">
        <v>27000</v>
      </c>
      <c r="G50" s="77"/>
      <c r="H50" s="77">
        <v>35000</v>
      </c>
      <c r="I50" s="77"/>
      <c r="J50" s="77">
        <f t="shared" si="9"/>
        <v>87000</v>
      </c>
      <c r="K50" s="77">
        <v>46209.279999999999</v>
      </c>
      <c r="L50" s="77">
        <f t="shared" si="7"/>
        <v>40790.720000000001</v>
      </c>
      <c r="M50" s="78">
        <f t="shared" si="10"/>
        <v>1.3670374382806704E-2</v>
      </c>
      <c r="N50" s="65"/>
      <c r="O50" s="65"/>
    </row>
    <row r="51" spans="1:15" ht="17.100000000000001" customHeight="1" x14ac:dyDescent="0.2">
      <c r="A51" s="88" t="s">
        <v>132</v>
      </c>
      <c r="B51" s="72" t="s">
        <v>133</v>
      </c>
      <c r="C51" s="77">
        <v>70560</v>
      </c>
      <c r="D51" s="77"/>
      <c r="E51" s="77"/>
      <c r="F51" s="77"/>
      <c r="G51" s="77"/>
      <c r="H51" s="77"/>
      <c r="I51" s="77"/>
      <c r="J51" s="77">
        <f t="shared" si="9"/>
        <v>70560</v>
      </c>
      <c r="K51" s="77">
        <v>41160</v>
      </c>
      <c r="L51" s="77">
        <f t="shared" si="7"/>
        <v>29400</v>
      </c>
      <c r="M51" s="78">
        <f t="shared" si="10"/>
        <v>1.2176614948259829E-2</v>
      </c>
      <c r="N51" s="65"/>
      <c r="O51" s="65"/>
    </row>
    <row r="52" spans="1:15" ht="17.100000000000001" customHeight="1" x14ac:dyDescent="0.2">
      <c r="A52" s="88" t="s">
        <v>134</v>
      </c>
      <c r="B52" s="72" t="s">
        <v>58</v>
      </c>
      <c r="C52" s="77">
        <v>35200</v>
      </c>
      <c r="D52" s="77"/>
      <c r="E52" s="77"/>
      <c r="F52" s="77"/>
      <c r="G52" s="77"/>
      <c r="H52" s="77"/>
      <c r="I52" s="77"/>
      <c r="J52" s="77">
        <f t="shared" si="9"/>
        <v>35200</v>
      </c>
      <c r="K52" s="77">
        <v>24712.5</v>
      </c>
      <c r="L52" s="77">
        <f t="shared" si="7"/>
        <v>10487.5</v>
      </c>
      <c r="M52" s="78">
        <f t="shared" si="10"/>
        <v>7.3108502650357388E-3</v>
      </c>
      <c r="N52" s="65"/>
      <c r="O52" s="65"/>
    </row>
    <row r="53" spans="1:15" ht="17.100000000000001" customHeight="1" x14ac:dyDescent="0.2">
      <c r="A53" s="88" t="s">
        <v>135</v>
      </c>
      <c r="B53" s="72" t="s">
        <v>59</v>
      </c>
      <c r="C53" s="77">
        <v>6550</v>
      </c>
      <c r="D53" s="77"/>
      <c r="E53" s="77"/>
      <c r="F53" s="77"/>
      <c r="G53" s="77"/>
      <c r="H53" s="77"/>
      <c r="I53" s="77"/>
      <c r="J53" s="77">
        <f t="shared" si="9"/>
        <v>6550</v>
      </c>
      <c r="K53" s="77">
        <v>3335</v>
      </c>
      <c r="L53" s="77">
        <f t="shared" si="7"/>
        <v>3215</v>
      </c>
      <c r="M53" s="78">
        <f t="shared" si="10"/>
        <v>9.8661348038013921E-4</v>
      </c>
      <c r="N53" s="65"/>
      <c r="O53" s="65"/>
    </row>
    <row r="54" spans="1:15" ht="17.100000000000001" customHeight="1" x14ac:dyDescent="0.2">
      <c r="A54" s="88" t="s">
        <v>136</v>
      </c>
      <c r="B54" s="72" t="s">
        <v>137</v>
      </c>
      <c r="C54" s="77">
        <v>2000</v>
      </c>
      <c r="D54" s="77"/>
      <c r="E54" s="77"/>
      <c r="F54" s="77"/>
      <c r="G54" s="77"/>
      <c r="H54" s="77"/>
      <c r="I54" s="77"/>
      <c r="J54" s="77">
        <f t="shared" si="9"/>
        <v>2000</v>
      </c>
      <c r="K54" s="77">
        <v>630</v>
      </c>
      <c r="L54" s="77">
        <f t="shared" si="7"/>
        <v>1370</v>
      </c>
      <c r="M54" s="78">
        <f t="shared" si="10"/>
        <v>1.8637675941214022E-4</v>
      </c>
      <c r="N54" s="65"/>
      <c r="O54" s="65"/>
    </row>
    <row r="55" spans="1:15" ht="17.100000000000001" customHeight="1" x14ac:dyDescent="0.2">
      <c r="A55" s="88" t="s">
        <v>138</v>
      </c>
      <c r="B55" s="72" t="s">
        <v>139</v>
      </c>
      <c r="C55" s="77">
        <v>10000</v>
      </c>
      <c r="D55" s="77"/>
      <c r="E55" s="77"/>
      <c r="F55" s="77"/>
      <c r="G55" s="77"/>
      <c r="H55" s="77"/>
      <c r="I55" s="77"/>
      <c r="J55" s="77">
        <f t="shared" si="9"/>
        <v>10000</v>
      </c>
      <c r="K55" s="77">
        <v>295</v>
      </c>
      <c r="L55" s="77">
        <f t="shared" si="7"/>
        <v>9705</v>
      </c>
      <c r="M55" s="78">
        <f t="shared" si="10"/>
        <v>8.7271657185049786E-5</v>
      </c>
      <c r="N55" s="65"/>
      <c r="O55" s="65"/>
    </row>
    <row r="56" spans="1:15" ht="17.100000000000001" customHeight="1" x14ac:dyDescent="0.2">
      <c r="A56" s="88" t="s">
        <v>140</v>
      </c>
      <c r="B56" s="72" t="s">
        <v>141</v>
      </c>
      <c r="C56" s="77">
        <v>6900</v>
      </c>
      <c r="D56" s="77"/>
      <c r="E56" s="77"/>
      <c r="F56" s="77">
        <v>850</v>
      </c>
      <c r="G56" s="77"/>
      <c r="H56" s="77"/>
      <c r="I56" s="77"/>
      <c r="J56" s="77">
        <f t="shared" si="9"/>
        <v>7750</v>
      </c>
      <c r="K56" s="77">
        <v>749.71</v>
      </c>
      <c r="L56" s="77">
        <f t="shared" si="7"/>
        <v>7000.29</v>
      </c>
      <c r="M56" s="78">
        <f t="shared" si="10"/>
        <v>2.217913020617074E-4</v>
      </c>
      <c r="N56" s="65"/>
      <c r="O56" s="65"/>
    </row>
    <row r="57" spans="1:15" ht="17.100000000000001" customHeight="1" x14ac:dyDescent="0.2">
      <c r="A57" s="88" t="s">
        <v>142</v>
      </c>
      <c r="B57" s="72" t="s">
        <v>143</v>
      </c>
      <c r="C57" s="77">
        <v>3000</v>
      </c>
      <c r="D57" s="77"/>
      <c r="E57" s="77"/>
      <c r="F57" s="77"/>
      <c r="G57" s="77"/>
      <c r="H57" s="77">
        <v>2500</v>
      </c>
      <c r="I57" s="77"/>
      <c r="J57" s="77">
        <f t="shared" si="9"/>
        <v>5500</v>
      </c>
      <c r="K57" s="77">
        <v>3000</v>
      </c>
      <c r="L57" s="77">
        <f t="shared" si="7"/>
        <v>2500</v>
      </c>
      <c r="M57" s="78">
        <f t="shared" si="10"/>
        <v>8.8750837815304877E-4</v>
      </c>
      <c r="N57" s="65"/>
      <c r="O57" s="65"/>
    </row>
    <row r="58" spans="1:15" ht="17.100000000000001" customHeight="1" x14ac:dyDescent="0.2">
      <c r="A58" s="88" t="s">
        <v>144</v>
      </c>
      <c r="B58" s="72" t="s">
        <v>145</v>
      </c>
      <c r="C58" s="77">
        <v>5000</v>
      </c>
      <c r="D58" s="77">
        <v>250</v>
      </c>
      <c r="E58" s="77"/>
      <c r="F58" s="77">
        <v>12285</v>
      </c>
      <c r="G58" s="77"/>
      <c r="H58" s="77">
        <v>8500</v>
      </c>
      <c r="I58" s="77"/>
      <c r="J58" s="77">
        <f t="shared" si="9"/>
        <v>26035</v>
      </c>
      <c r="K58" s="77">
        <v>11200</v>
      </c>
      <c r="L58" s="77">
        <f t="shared" si="7"/>
        <v>14835</v>
      </c>
      <c r="M58" s="78">
        <f t="shared" si="10"/>
        <v>3.3133646117713819E-3</v>
      </c>
      <c r="N58" s="65"/>
      <c r="O58" s="65"/>
    </row>
    <row r="59" spans="1:15" ht="17.100000000000001" customHeight="1" x14ac:dyDescent="0.2">
      <c r="A59" s="88" t="s">
        <v>146</v>
      </c>
      <c r="B59" s="72" t="s">
        <v>147</v>
      </c>
      <c r="C59" s="77">
        <v>180000</v>
      </c>
      <c r="D59" s="77"/>
      <c r="E59" s="77"/>
      <c r="F59" s="77"/>
      <c r="G59" s="77"/>
      <c r="H59" s="77"/>
      <c r="I59" s="77"/>
      <c r="J59" s="77">
        <f t="shared" si="9"/>
        <v>180000</v>
      </c>
      <c r="K59" s="77">
        <v>84000</v>
      </c>
      <c r="L59" s="77">
        <f t="shared" si="7"/>
        <v>96000</v>
      </c>
      <c r="M59" s="78">
        <f t="shared" si="10"/>
        <v>2.4850234588285364E-2</v>
      </c>
      <c r="N59" s="65"/>
      <c r="O59" s="65"/>
    </row>
    <row r="60" spans="1:15" ht="17.100000000000001" customHeight="1" x14ac:dyDescent="0.2">
      <c r="A60" s="88" t="s">
        <v>148</v>
      </c>
      <c r="B60" s="72" t="s">
        <v>149</v>
      </c>
      <c r="C60" s="77">
        <v>0</v>
      </c>
      <c r="D60" s="77"/>
      <c r="E60" s="77"/>
      <c r="F60" s="77"/>
      <c r="G60" s="77"/>
      <c r="H60" s="77"/>
      <c r="I60" s="77"/>
      <c r="J60" s="77">
        <f t="shared" si="9"/>
        <v>0</v>
      </c>
      <c r="K60" s="77">
        <v>0</v>
      </c>
      <c r="L60" s="77">
        <f t="shared" si="7"/>
        <v>0</v>
      </c>
      <c r="M60" s="78">
        <f t="shared" si="10"/>
        <v>0</v>
      </c>
      <c r="N60" s="65"/>
      <c r="O60" s="65"/>
    </row>
    <row r="61" spans="1:15" ht="17.100000000000001" customHeight="1" x14ac:dyDescent="0.2">
      <c r="A61" s="88" t="s">
        <v>150</v>
      </c>
      <c r="B61" s="72" t="s">
        <v>151</v>
      </c>
      <c r="C61" s="77">
        <v>40600</v>
      </c>
      <c r="D61" s="77"/>
      <c r="E61" s="77">
        <v>16600</v>
      </c>
      <c r="F61" s="77"/>
      <c r="G61" s="77"/>
      <c r="H61" s="77"/>
      <c r="I61" s="77"/>
      <c r="J61" s="77">
        <f t="shared" si="9"/>
        <v>24000</v>
      </c>
      <c r="K61" s="77">
        <v>11125</v>
      </c>
      <c r="L61" s="77">
        <f t="shared" si="7"/>
        <v>12875</v>
      </c>
      <c r="M61" s="78">
        <f t="shared" si="10"/>
        <v>3.2911769023175556E-3</v>
      </c>
      <c r="N61" s="65"/>
      <c r="O61" s="65"/>
    </row>
    <row r="62" spans="1:15" ht="17.100000000000001" customHeight="1" x14ac:dyDescent="0.2">
      <c r="A62" s="88" t="s">
        <v>152</v>
      </c>
      <c r="B62" s="72" t="s">
        <v>153</v>
      </c>
      <c r="C62" s="77">
        <v>60000</v>
      </c>
      <c r="D62" s="77"/>
      <c r="E62" s="77">
        <v>6000</v>
      </c>
      <c r="F62" s="77"/>
      <c r="G62" s="77"/>
      <c r="H62" s="77"/>
      <c r="I62" s="77"/>
      <c r="J62" s="77">
        <f t="shared" si="9"/>
        <v>54000</v>
      </c>
      <c r="K62" s="77">
        <v>31500</v>
      </c>
      <c r="L62" s="77">
        <f t="shared" si="7"/>
        <v>22500</v>
      </c>
      <c r="M62" s="78">
        <f t="shared" si="10"/>
        <v>9.3188379706070114E-3</v>
      </c>
      <c r="N62" s="65"/>
      <c r="O62" s="65"/>
    </row>
    <row r="63" spans="1:15" ht="17.100000000000001" customHeight="1" x14ac:dyDescent="0.2">
      <c r="A63" s="88" t="s">
        <v>154</v>
      </c>
      <c r="B63" s="72" t="s">
        <v>60</v>
      </c>
      <c r="C63" s="77">
        <v>11300</v>
      </c>
      <c r="D63" s="77"/>
      <c r="E63" s="77"/>
      <c r="F63" s="77">
        <v>10000</v>
      </c>
      <c r="G63" s="77"/>
      <c r="H63" s="77"/>
      <c r="I63" s="77"/>
      <c r="J63" s="77">
        <f t="shared" si="9"/>
        <v>21300</v>
      </c>
      <c r="K63" s="77">
        <v>4656</v>
      </c>
      <c r="L63" s="77">
        <f t="shared" si="7"/>
        <v>16644</v>
      </c>
      <c r="M63" s="78">
        <f t="shared" si="10"/>
        <v>1.3774130028935316E-3</v>
      </c>
      <c r="N63" s="65"/>
      <c r="O63" s="65"/>
    </row>
    <row r="64" spans="1:15" ht="17.100000000000001" customHeight="1" x14ac:dyDescent="0.2">
      <c r="A64" s="88" t="s">
        <v>155</v>
      </c>
      <c r="B64" s="72" t="s">
        <v>268</v>
      </c>
      <c r="C64" s="77">
        <v>15500</v>
      </c>
      <c r="D64" s="77"/>
      <c r="E64" s="77"/>
      <c r="F64" s="77">
        <v>18000</v>
      </c>
      <c r="G64" s="77"/>
      <c r="H64" s="77"/>
      <c r="I64" s="77"/>
      <c r="J64" s="77">
        <f t="shared" si="9"/>
        <v>33500</v>
      </c>
      <c r="K64" s="77">
        <v>20635</v>
      </c>
      <c r="L64" s="77">
        <f t="shared" si="7"/>
        <v>12865</v>
      </c>
      <c r="M64" s="78">
        <f t="shared" si="10"/>
        <v>6.1045784610627204E-3</v>
      </c>
      <c r="N64" s="65"/>
      <c r="O64" s="65"/>
    </row>
    <row r="65" spans="1:15" ht="17.100000000000001" customHeight="1" x14ac:dyDescent="0.2">
      <c r="A65" s="88" t="s">
        <v>157</v>
      </c>
      <c r="B65" s="72" t="s">
        <v>61</v>
      </c>
      <c r="C65" s="77">
        <v>24394.959999999995</v>
      </c>
      <c r="D65" s="77"/>
      <c r="E65" s="77">
        <v>3200</v>
      </c>
      <c r="F65" s="77">
        <v>12000</v>
      </c>
      <c r="G65" s="77"/>
      <c r="H65" s="77"/>
      <c r="I65" s="77"/>
      <c r="J65" s="77">
        <f t="shared" si="9"/>
        <v>33194.959999999992</v>
      </c>
      <c r="K65" s="77">
        <v>26522.1</v>
      </c>
      <c r="L65" s="77">
        <f t="shared" si="7"/>
        <v>6672.8599999999933</v>
      </c>
      <c r="M65" s="78">
        <f t="shared" si="10"/>
        <v>7.846195318737658E-3</v>
      </c>
      <c r="N65" s="65"/>
      <c r="O65" s="65"/>
    </row>
    <row r="66" spans="1:15" ht="17.100000000000001" customHeight="1" x14ac:dyDescent="0.2">
      <c r="A66" s="88" t="s">
        <v>158</v>
      </c>
      <c r="B66" s="72" t="s">
        <v>62</v>
      </c>
      <c r="C66" s="77">
        <v>80000</v>
      </c>
      <c r="D66" s="77"/>
      <c r="E66" s="77"/>
      <c r="F66" s="77">
        <v>27500</v>
      </c>
      <c r="G66" s="77"/>
      <c r="H66" s="77"/>
      <c r="I66" s="77"/>
      <c r="J66" s="77">
        <f t="shared" si="9"/>
        <v>107500</v>
      </c>
      <c r="K66" s="77">
        <v>0</v>
      </c>
      <c r="L66" s="77">
        <f t="shared" si="7"/>
        <v>107500</v>
      </c>
      <c r="M66" s="78">
        <f t="shared" si="10"/>
        <v>0</v>
      </c>
      <c r="N66" s="65"/>
      <c r="O66" s="65"/>
    </row>
    <row r="67" spans="1:15" ht="17.100000000000001" customHeight="1" x14ac:dyDescent="0.2">
      <c r="A67" s="88" t="s">
        <v>159</v>
      </c>
      <c r="B67" s="72" t="s">
        <v>238</v>
      </c>
      <c r="C67" s="77">
        <v>244000</v>
      </c>
      <c r="D67" s="77"/>
      <c r="E67" s="77">
        <v>12800</v>
      </c>
      <c r="F67" s="77">
        <v>18000</v>
      </c>
      <c r="G67" s="77"/>
      <c r="H67" s="77"/>
      <c r="I67" s="77"/>
      <c r="J67" s="77">
        <f t="shared" si="9"/>
        <v>249200</v>
      </c>
      <c r="K67" s="77">
        <v>139038.38</v>
      </c>
      <c r="L67" s="77">
        <f t="shared" si="7"/>
        <v>110161.62</v>
      </c>
      <c r="M67" s="78">
        <f t="shared" si="10"/>
        <v>4.1132575711609096E-2</v>
      </c>
      <c r="N67" s="65"/>
      <c r="O67" s="65"/>
    </row>
    <row r="68" spans="1:15" ht="17.100000000000001" customHeight="1" x14ac:dyDescent="0.2">
      <c r="A68" s="88" t="s">
        <v>160</v>
      </c>
      <c r="B68" s="72" t="s">
        <v>64</v>
      </c>
      <c r="C68" s="77">
        <v>11250</v>
      </c>
      <c r="D68" s="77"/>
      <c r="E68" s="77"/>
      <c r="F68" s="77"/>
      <c r="G68" s="77"/>
      <c r="H68" s="77"/>
      <c r="I68" s="77"/>
      <c r="J68" s="77">
        <f t="shared" si="9"/>
        <v>11250</v>
      </c>
      <c r="K68" s="77">
        <v>6782</v>
      </c>
      <c r="L68" s="77">
        <f t="shared" si="7"/>
        <v>4468</v>
      </c>
      <c r="M68" s="78">
        <f t="shared" si="10"/>
        <v>2.0063606068779923E-3</v>
      </c>
      <c r="N68" s="65"/>
      <c r="O68" s="65"/>
    </row>
    <row r="69" spans="1:15" ht="17.100000000000001" customHeight="1" x14ac:dyDescent="0.2">
      <c r="A69" s="88" t="s">
        <v>161</v>
      </c>
      <c r="B69" s="72" t="s">
        <v>239</v>
      </c>
      <c r="C69" s="77">
        <v>5000</v>
      </c>
      <c r="D69" s="77"/>
      <c r="E69" s="77"/>
      <c r="F69" s="77"/>
      <c r="G69" s="77"/>
      <c r="H69" s="77"/>
      <c r="I69" s="77"/>
      <c r="J69" s="77">
        <f t="shared" si="9"/>
        <v>5000</v>
      </c>
      <c r="K69" s="77">
        <v>938.77</v>
      </c>
      <c r="L69" s="77">
        <f t="shared" si="7"/>
        <v>4061.23</v>
      </c>
      <c r="M69" s="78">
        <f t="shared" si="10"/>
        <v>2.7772208005291254E-4</v>
      </c>
      <c r="N69" s="65"/>
      <c r="O69" s="65"/>
    </row>
    <row r="70" spans="1:15" ht="17.100000000000001" customHeight="1" x14ac:dyDescent="0.2">
      <c r="A70" s="88" t="s">
        <v>163</v>
      </c>
      <c r="B70" s="72" t="s">
        <v>164</v>
      </c>
      <c r="C70" s="77">
        <v>5000</v>
      </c>
      <c r="D70" s="77"/>
      <c r="E70" s="77"/>
      <c r="F70" s="77">
        <v>11500</v>
      </c>
      <c r="G70" s="77"/>
      <c r="H70" s="77">
        <v>25000</v>
      </c>
      <c r="I70" s="77"/>
      <c r="J70" s="77">
        <f t="shared" si="9"/>
        <v>41500</v>
      </c>
      <c r="K70" s="77">
        <v>36388.5</v>
      </c>
      <c r="L70" s="77">
        <f t="shared" si="7"/>
        <v>5111.5</v>
      </c>
      <c r="M70" s="78">
        <f t="shared" si="10"/>
        <v>1.0765032872807405E-2</v>
      </c>
      <c r="N70" s="65"/>
      <c r="O70" s="65"/>
    </row>
    <row r="71" spans="1:15" ht="17.100000000000001" customHeight="1" x14ac:dyDescent="0.2">
      <c r="A71" s="88" t="s">
        <v>165</v>
      </c>
      <c r="B71" s="72" t="s">
        <v>65</v>
      </c>
      <c r="C71" s="77">
        <v>21150</v>
      </c>
      <c r="D71" s="77">
        <v>970</v>
      </c>
      <c r="E71" s="77"/>
      <c r="F71" s="77">
        <v>24500</v>
      </c>
      <c r="G71" s="77">
        <v>9500</v>
      </c>
      <c r="H71" s="77">
        <v>10000</v>
      </c>
      <c r="I71" s="77"/>
      <c r="J71" s="77">
        <f t="shared" si="9"/>
        <v>47120</v>
      </c>
      <c r="K71" s="77">
        <v>21692.5</v>
      </c>
      <c r="L71" s="77">
        <f t="shared" si="7"/>
        <v>25427.5</v>
      </c>
      <c r="M71" s="78">
        <f t="shared" si="10"/>
        <v>6.4174251643616701E-3</v>
      </c>
      <c r="N71" s="65"/>
      <c r="O71" s="65"/>
    </row>
    <row r="72" spans="1:15" ht="17.100000000000001" customHeight="1" x14ac:dyDescent="0.2">
      <c r="A72" s="88" t="s">
        <v>166</v>
      </c>
      <c r="B72" s="72" t="s">
        <v>167</v>
      </c>
      <c r="C72" s="77">
        <v>17000</v>
      </c>
      <c r="D72" s="77">
        <v>750</v>
      </c>
      <c r="E72" s="77"/>
      <c r="F72" s="77">
        <v>5000</v>
      </c>
      <c r="G72" s="77"/>
      <c r="H72" s="77">
        <v>7500</v>
      </c>
      <c r="I72" s="77"/>
      <c r="J72" s="77">
        <f t="shared" si="9"/>
        <v>30250</v>
      </c>
      <c r="K72" s="77">
        <v>4885.74</v>
      </c>
      <c r="L72" s="77">
        <f t="shared" si="7"/>
        <v>25364.260000000002</v>
      </c>
      <c r="M72" s="78">
        <f t="shared" si="10"/>
        <v>1.445378394492492E-3</v>
      </c>
      <c r="N72" s="65"/>
      <c r="O72" s="65"/>
    </row>
    <row r="73" spans="1:15" ht="17.100000000000001" customHeight="1" x14ac:dyDescent="0.2">
      <c r="A73" s="88"/>
      <c r="B73" s="72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65"/>
      <c r="O73" s="65"/>
    </row>
    <row r="74" spans="1:15" ht="17.100000000000001" customHeight="1" x14ac:dyDescent="0.25">
      <c r="A74" s="86">
        <v>2</v>
      </c>
      <c r="B74" s="87" t="s">
        <v>66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8"/>
      <c r="N74" s="65"/>
      <c r="O74" s="65"/>
    </row>
    <row r="75" spans="1:15" ht="17.100000000000001" customHeight="1" x14ac:dyDescent="0.2">
      <c r="A75" s="88" t="s">
        <v>168</v>
      </c>
      <c r="B75" s="72" t="s">
        <v>67</v>
      </c>
      <c r="C75" s="77">
        <v>116357.64</v>
      </c>
      <c r="D75" s="77">
        <v>40914</v>
      </c>
      <c r="E75" s="77"/>
      <c r="F75" s="77">
        <v>8500</v>
      </c>
      <c r="G75" s="77"/>
      <c r="H75" s="77"/>
      <c r="I75" s="77"/>
      <c r="J75" s="77">
        <f t="shared" si="9"/>
        <v>165771.64000000001</v>
      </c>
      <c r="K75" s="77">
        <v>45878.100000000006</v>
      </c>
      <c r="L75" s="77">
        <f t="shared" si="7"/>
        <v>119893.54000000001</v>
      </c>
      <c r="M75" s="78">
        <f t="shared" ref="M75:M104" si="11">K75/$K$123</f>
        <v>1.3572399374581131E-2</v>
      </c>
      <c r="N75" s="65"/>
      <c r="O75" s="65"/>
    </row>
    <row r="76" spans="1:15" ht="17.100000000000001" customHeight="1" x14ac:dyDescent="0.2">
      <c r="A76" s="88" t="s">
        <v>254</v>
      </c>
      <c r="B76" s="72" t="s">
        <v>255</v>
      </c>
      <c r="C76" s="77">
        <v>0</v>
      </c>
      <c r="D76" s="77">
        <v>750</v>
      </c>
      <c r="E76" s="77"/>
      <c r="F76" s="77"/>
      <c r="G76" s="77"/>
      <c r="H76" s="77"/>
      <c r="I76" s="77"/>
      <c r="J76" s="77">
        <f t="shared" si="9"/>
        <v>750</v>
      </c>
      <c r="K76" s="77">
        <v>0</v>
      </c>
      <c r="L76" s="77">
        <f t="shared" si="7"/>
        <v>750</v>
      </c>
      <c r="M76" s="78">
        <f t="shared" si="11"/>
        <v>0</v>
      </c>
      <c r="N76" s="65"/>
      <c r="O76" s="65"/>
    </row>
    <row r="77" spans="1:15" ht="17.100000000000001" customHeight="1" x14ac:dyDescent="0.2">
      <c r="A77" s="88" t="s">
        <v>170</v>
      </c>
      <c r="B77" s="72" t="s">
        <v>69</v>
      </c>
      <c r="C77" s="77">
        <v>2080</v>
      </c>
      <c r="D77" s="77">
        <v>4500</v>
      </c>
      <c r="E77" s="77"/>
      <c r="F77" s="77">
        <v>3000</v>
      </c>
      <c r="G77" s="77"/>
      <c r="H77" s="77"/>
      <c r="I77" s="77"/>
      <c r="J77" s="77">
        <f t="shared" si="9"/>
        <v>9580</v>
      </c>
      <c r="K77" s="77">
        <v>3335</v>
      </c>
      <c r="L77" s="77">
        <f t="shared" si="7"/>
        <v>6245</v>
      </c>
      <c r="M77" s="78">
        <f t="shared" si="11"/>
        <v>9.8661348038013921E-4</v>
      </c>
      <c r="N77" s="65"/>
      <c r="O77" s="65"/>
    </row>
    <row r="78" spans="1:15" ht="17.100000000000001" customHeight="1" x14ac:dyDescent="0.2">
      <c r="A78" s="88" t="s">
        <v>171</v>
      </c>
      <c r="B78" s="72" t="s">
        <v>70</v>
      </c>
      <c r="C78" s="77">
        <v>62500</v>
      </c>
      <c r="D78" s="77">
        <v>6450</v>
      </c>
      <c r="E78" s="77"/>
      <c r="F78" s="77">
        <v>7500</v>
      </c>
      <c r="G78" s="77"/>
      <c r="H78" s="77"/>
      <c r="I78" s="77"/>
      <c r="J78" s="77">
        <f t="shared" si="9"/>
        <v>76450</v>
      </c>
      <c r="K78" s="77">
        <v>22486</v>
      </c>
      <c r="L78" s="77">
        <f t="shared" si="7"/>
        <v>53964</v>
      </c>
      <c r="M78" s="78">
        <f t="shared" si="11"/>
        <v>6.6521711303831514E-3</v>
      </c>
      <c r="N78" s="65"/>
      <c r="O78" s="65"/>
    </row>
    <row r="79" spans="1:15" ht="17.100000000000001" customHeight="1" x14ac:dyDescent="0.2">
      <c r="A79" s="88" t="s">
        <v>172</v>
      </c>
      <c r="B79" s="72" t="s">
        <v>71</v>
      </c>
      <c r="C79" s="77">
        <v>6000</v>
      </c>
      <c r="D79" s="77">
        <v>750</v>
      </c>
      <c r="E79" s="77"/>
      <c r="F79" s="77"/>
      <c r="G79" s="77"/>
      <c r="H79" s="77"/>
      <c r="I79" s="77"/>
      <c r="J79" s="77">
        <f t="shared" si="9"/>
        <v>6750</v>
      </c>
      <c r="K79" s="77">
        <v>2045.0500000000002</v>
      </c>
      <c r="L79" s="77">
        <f t="shared" si="7"/>
        <v>4704.95</v>
      </c>
      <c r="M79" s="78">
        <f t="shared" si="11"/>
        <v>6.0499966958063079E-4</v>
      </c>
      <c r="N79" s="65"/>
      <c r="O79" s="65"/>
    </row>
    <row r="80" spans="1:15" ht="17.100000000000001" customHeight="1" x14ac:dyDescent="0.2">
      <c r="A80" s="88" t="s">
        <v>173</v>
      </c>
      <c r="B80" s="72" t="s">
        <v>72</v>
      </c>
      <c r="C80" s="77">
        <v>1100</v>
      </c>
      <c r="D80" s="77"/>
      <c r="E80" s="77"/>
      <c r="F80" s="77"/>
      <c r="G80" s="77"/>
      <c r="H80" s="77"/>
      <c r="I80" s="77"/>
      <c r="J80" s="77">
        <f t="shared" si="9"/>
        <v>1100</v>
      </c>
      <c r="K80" s="77">
        <v>850.6</v>
      </c>
      <c r="L80" s="77">
        <f t="shared" si="7"/>
        <v>249.39999999999998</v>
      </c>
      <c r="M80" s="78">
        <f t="shared" si="11"/>
        <v>2.5163820881899442E-4</v>
      </c>
      <c r="N80" s="65"/>
      <c r="O80" s="65"/>
    </row>
    <row r="81" spans="1:15" ht="17.100000000000001" customHeight="1" x14ac:dyDescent="0.2">
      <c r="A81" s="88" t="s">
        <v>174</v>
      </c>
      <c r="B81" s="72" t="s">
        <v>175</v>
      </c>
      <c r="C81" s="77">
        <v>2255</v>
      </c>
      <c r="D81" s="77"/>
      <c r="E81" s="77"/>
      <c r="F81" s="77"/>
      <c r="G81" s="77"/>
      <c r="H81" s="77"/>
      <c r="I81" s="77"/>
      <c r="J81" s="77">
        <f t="shared" si="9"/>
        <v>2255</v>
      </c>
      <c r="K81" s="77">
        <v>1604.4</v>
      </c>
      <c r="L81" s="77">
        <f t="shared" si="7"/>
        <v>650.59999999999991</v>
      </c>
      <c r="M81" s="78">
        <f t="shared" si="11"/>
        <v>4.7463948063625048E-4</v>
      </c>
      <c r="N81" s="65"/>
      <c r="O81" s="65"/>
    </row>
    <row r="82" spans="1:15" ht="17.100000000000001" customHeight="1" x14ac:dyDescent="0.2">
      <c r="A82" s="88" t="s">
        <v>176</v>
      </c>
      <c r="B82" s="72" t="s">
        <v>177</v>
      </c>
      <c r="C82" s="77">
        <v>1300</v>
      </c>
      <c r="D82" s="77"/>
      <c r="E82" s="77"/>
      <c r="F82" s="77"/>
      <c r="G82" s="77"/>
      <c r="H82" s="77"/>
      <c r="I82" s="77"/>
      <c r="J82" s="77">
        <f t="shared" si="9"/>
        <v>1300</v>
      </c>
      <c r="K82" s="77">
        <v>21</v>
      </c>
      <c r="L82" s="77">
        <f t="shared" si="7"/>
        <v>1279</v>
      </c>
      <c r="M82" s="78">
        <f t="shared" si="11"/>
        <v>6.2125586470713414E-6</v>
      </c>
      <c r="N82" s="65"/>
      <c r="O82" s="65"/>
    </row>
    <row r="83" spans="1:15" ht="17.100000000000001" customHeight="1" x14ac:dyDescent="0.2">
      <c r="A83" s="88" t="s">
        <v>178</v>
      </c>
      <c r="B83" s="72" t="s">
        <v>179</v>
      </c>
      <c r="C83" s="77">
        <v>7500</v>
      </c>
      <c r="D83" s="77"/>
      <c r="E83" s="77"/>
      <c r="F83" s="77"/>
      <c r="G83" s="77"/>
      <c r="H83" s="77"/>
      <c r="I83" s="77"/>
      <c r="J83" s="77">
        <f t="shared" si="9"/>
        <v>7500</v>
      </c>
      <c r="K83" s="77">
        <v>0</v>
      </c>
      <c r="L83" s="77">
        <f t="shared" si="7"/>
        <v>7500</v>
      </c>
      <c r="M83" s="78">
        <f t="shared" si="11"/>
        <v>0</v>
      </c>
      <c r="N83" s="65"/>
      <c r="O83" s="65"/>
    </row>
    <row r="84" spans="1:15" ht="17.100000000000001" customHeight="1" x14ac:dyDescent="0.2">
      <c r="A84" s="88" t="s">
        <v>180</v>
      </c>
      <c r="B84" s="72" t="s">
        <v>73</v>
      </c>
      <c r="C84" s="77">
        <v>200</v>
      </c>
      <c r="D84" s="77">
        <v>1050</v>
      </c>
      <c r="E84" s="77"/>
      <c r="F84" s="77"/>
      <c r="G84" s="77"/>
      <c r="H84" s="77"/>
      <c r="I84" s="77"/>
      <c r="J84" s="77">
        <f t="shared" si="9"/>
        <v>1250</v>
      </c>
      <c r="K84" s="77">
        <v>330</v>
      </c>
      <c r="L84" s="77">
        <f t="shared" si="7"/>
        <v>920</v>
      </c>
      <c r="M84" s="78">
        <f t="shared" si="11"/>
        <v>9.762592159683536E-5</v>
      </c>
      <c r="N84" s="65"/>
      <c r="O84" s="65"/>
    </row>
    <row r="85" spans="1:15" ht="17.100000000000001" customHeight="1" x14ac:dyDescent="0.2">
      <c r="A85" s="88" t="s">
        <v>181</v>
      </c>
      <c r="B85" s="72" t="s">
        <v>74</v>
      </c>
      <c r="C85" s="77">
        <v>10920</v>
      </c>
      <c r="D85" s="77"/>
      <c r="E85" s="77">
        <v>2700</v>
      </c>
      <c r="F85" s="77"/>
      <c r="G85" s="77"/>
      <c r="H85" s="77"/>
      <c r="I85" s="77"/>
      <c r="J85" s="77">
        <f t="shared" si="9"/>
        <v>8220</v>
      </c>
      <c r="K85" s="77">
        <v>6117.78</v>
      </c>
      <c r="L85" s="77">
        <f t="shared" si="7"/>
        <v>2102.2200000000003</v>
      </c>
      <c r="M85" s="78">
        <f t="shared" si="11"/>
        <v>1.8098603352323861E-3</v>
      </c>
      <c r="N85" s="65"/>
      <c r="O85" s="65"/>
    </row>
    <row r="86" spans="1:15" ht="17.100000000000001" customHeight="1" x14ac:dyDescent="0.2">
      <c r="A86" s="88" t="s">
        <v>182</v>
      </c>
      <c r="B86" s="72" t="s">
        <v>183</v>
      </c>
      <c r="C86" s="77">
        <v>1850</v>
      </c>
      <c r="D86" s="77"/>
      <c r="E86" s="77"/>
      <c r="F86" s="77"/>
      <c r="G86" s="77"/>
      <c r="H86" s="77">
        <v>3500</v>
      </c>
      <c r="I86" s="77"/>
      <c r="J86" s="77">
        <f t="shared" si="9"/>
        <v>5350</v>
      </c>
      <c r="K86" s="77">
        <v>2618.04</v>
      </c>
      <c r="L86" s="77">
        <f t="shared" si="7"/>
        <v>2731.96</v>
      </c>
      <c r="M86" s="78">
        <f t="shared" si="11"/>
        <v>7.7451081144660257E-4</v>
      </c>
      <c r="N86" s="65"/>
      <c r="O86" s="65"/>
    </row>
    <row r="87" spans="1:15" ht="17.100000000000001" customHeight="1" x14ac:dyDescent="0.2">
      <c r="A87" s="88" t="s">
        <v>184</v>
      </c>
      <c r="B87" s="72" t="s">
        <v>75</v>
      </c>
      <c r="C87" s="77">
        <v>19000</v>
      </c>
      <c r="D87" s="77">
        <v>3250</v>
      </c>
      <c r="E87" s="77"/>
      <c r="F87" s="77">
        <v>8640</v>
      </c>
      <c r="G87" s="77"/>
      <c r="H87" s="77">
        <v>10500</v>
      </c>
      <c r="I87" s="77"/>
      <c r="J87" s="77">
        <f t="shared" si="9"/>
        <v>41390</v>
      </c>
      <c r="K87" s="77">
        <v>24569.94</v>
      </c>
      <c r="L87" s="77">
        <f t="shared" si="7"/>
        <v>16820.060000000001</v>
      </c>
      <c r="M87" s="78">
        <f t="shared" si="11"/>
        <v>7.2686758669059061E-3</v>
      </c>
      <c r="N87" s="65"/>
      <c r="O87" s="65"/>
    </row>
    <row r="88" spans="1:15" ht="17.100000000000001" customHeight="1" x14ac:dyDescent="0.2">
      <c r="A88" s="88" t="s">
        <v>185</v>
      </c>
      <c r="B88" s="72" t="s">
        <v>186</v>
      </c>
      <c r="C88" s="77">
        <v>4793.1600000000008</v>
      </c>
      <c r="D88" s="77">
        <v>17750</v>
      </c>
      <c r="E88" s="77"/>
      <c r="F88" s="77">
        <v>985</v>
      </c>
      <c r="G88" s="77"/>
      <c r="H88" s="77"/>
      <c r="I88" s="77"/>
      <c r="J88" s="77">
        <f t="shared" si="9"/>
        <v>23528.16</v>
      </c>
      <c r="K88" s="77">
        <v>3190.78</v>
      </c>
      <c r="L88" s="77">
        <f t="shared" si="7"/>
        <v>20337.38</v>
      </c>
      <c r="M88" s="78">
        <f t="shared" si="11"/>
        <v>9.4394799428106167E-4</v>
      </c>
      <c r="N88" s="65"/>
      <c r="O88" s="65"/>
    </row>
    <row r="89" spans="1:15" ht="17.100000000000001" customHeight="1" x14ac:dyDescent="0.2">
      <c r="A89" s="88" t="s">
        <v>187</v>
      </c>
      <c r="B89" s="72" t="s">
        <v>275</v>
      </c>
      <c r="C89" s="77">
        <v>1250</v>
      </c>
      <c r="D89" s="77"/>
      <c r="E89" s="77"/>
      <c r="F89" s="77">
        <v>650</v>
      </c>
      <c r="G89" s="77"/>
      <c r="H89" s="77"/>
      <c r="I89" s="77"/>
      <c r="J89" s="77">
        <f t="shared" si="9"/>
        <v>1900</v>
      </c>
      <c r="K89" s="77">
        <v>1511</v>
      </c>
      <c r="L89" s="77">
        <f t="shared" ref="L89:L121" si="12">J89-K89</f>
        <v>389</v>
      </c>
      <c r="M89" s="78">
        <f t="shared" si="11"/>
        <v>4.4700838646308553E-4</v>
      </c>
      <c r="N89" s="65"/>
      <c r="O89" s="65"/>
    </row>
    <row r="90" spans="1:15" ht="17.100000000000001" customHeight="1" x14ac:dyDescent="0.2">
      <c r="A90" s="88" t="s">
        <v>189</v>
      </c>
      <c r="B90" s="72" t="s">
        <v>76</v>
      </c>
      <c r="C90" s="77">
        <v>165089.08000000002</v>
      </c>
      <c r="D90" s="77"/>
      <c r="E90" s="77">
        <v>2000</v>
      </c>
      <c r="F90" s="77"/>
      <c r="G90" s="77">
        <v>77463</v>
      </c>
      <c r="H90" s="77"/>
      <c r="I90" s="77"/>
      <c r="J90" s="77">
        <f t="shared" si="9"/>
        <v>85626.080000000016</v>
      </c>
      <c r="K90" s="77">
        <v>83271.08</v>
      </c>
      <c r="L90" s="77">
        <f t="shared" si="12"/>
        <v>2355.0000000000146</v>
      </c>
      <c r="M90" s="78">
        <f t="shared" si="11"/>
        <v>2.4634593719284257E-2</v>
      </c>
      <c r="N90" s="65"/>
      <c r="O90" s="65"/>
    </row>
    <row r="91" spans="1:15" ht="17.100000000000001" customHeight="1" x14ac:dyDescent="0.2">
      <c r="A91" s="88" t="s">
        <v>190</v>
      </c>
      <c r="B91" s="72" t="s">
        <v>77</v>
      </c>
      <c r="C91" s="77">
        <v>0</v>
      </c>
      <c r="D91" s="77"/>
      <c r="E91" s="77"/>
      <c r="F91" s="77"/>
      <c r="G91" s="77"/>
      <c r="H91" s="77"/>
      <c r="I91" s="77"/>
      <c r="J91" s="77">
        <f t="shared" si="9"/>
        <v>0</v>
      </c>
      <c r="K91" s="77">
        <v>0</v>
      </c>
      <c r="L91" s="77">
        <f t="shared" si="12"/>
        <v>0</v>
      </c>
      <c r="M91" s="78">
        <f t="shared" si="11"/>
        <v>0</v>
      </c>
      <c r="N91" s="65"/>
      <c r="O91" s="65"/>
    </row>
    <row r="92" spans="1:15" ht="17.100000000000001" customHeight="1" x14ac:dyDescent="0.2">
      <c r="A92" s="88" t="s">
        <v>256</v>
      </c>
      <c r="B92" s="72" t="s">
        <v>257</v>
      </c>
      <c r="C92" s="77">
        <v>0</v>
      </c>
      <c r="D92" s="77">
        <v>1200</v>
      </c>
      <c r="E92" s="77"/>
      <c r="F92" s="77"/>
      <c r="G92" s="77"/>
      <c r="H92" s="77"/>
      <c r="I92" s="77"/>
      <c r="J92" s="77">
        <f t="shared" si="9"/>
        <v>1200</v>
      </c>
      <c r="K92" s="77">
        <v>75</v>
      </c>
      <c r="L92" s="77">
        <f t="shared" si="12"/>
        <v>1125</v>
      </c>
      <c r="M92" s="78">
        <f t="shared" si="11"/>
        <v>2.2187709453826218E-5</v>
      </c>
      <c r="N92" s="65"/>
      <c r="O92" s="65"/>
    </row>
    <row r="93" spans="1:15" ht="17.100000000000001" customHeight="1" x14ac:dyDescent="0.2">
      <c r="A93" s="88" t="s">
        <v>258</v>
      </c>
      <c r="B93" s="72" t="s">
        <v>259</v>
      </c>
      <c r="C93" s="77">
        <v>0</v>
      </c>
      <c r="D93" s="77">
        <v>750</v>
      </c>
      <c r="E93" s="77"/>
      <c r="F93" s="77"/>
      <c r="G93" s="77"/>
      <c r="H93" s="77"/>
      <c r="I93" s="77"/>
      <c r="J93" s="77">
        <f t="shared" si="9"/>
        <v>750</v>
      </c>
      <c r="K93" s="77">
        <v>0</v>
      </c>
      <c r="L93" s="77">
        <f t="shared" si="12"/>
        <v>750</v>
      </c>
      <c r="M93" s="78">
        <f t="shared" si="11"/>
        <v>0</v>
      </c>
      <c r="N93" s="65"/>
      <c r="O93" s="65"/>
    </row>
    <row r="94" spans="1:15" ht="17.100000000000001" customHeight="1" x14ac:dyDescent="0.2">
      <c r="A94" s="88" t="s">
        <v>191</v>
      </c>
      <c r="B94" s="72" t="s">
        <v>78</v>
      </c>
      <c r="C94" s="77">
        <v>1000</v>
      </c>
      <c r="D94" s="77"/>
      <c r="E94" s="77"/>
      <c r="F94" s="77"/>
      <c r="G94" s="77"/>
      <c r="H94" s="77">
        <v>1500</v>
      </c>
      <c r="I94" s="77"/>
      <c r="J94" s="77">
        <f t="shared" si="9"/>
        <v>2500</v>
      </c>
      <c r="K94" s="77">
        <v>1389</v>
      </c>
      <c r="L94" s="77">
        <f t="shared" si="12"/>
        <v>1111</v>
      </c>
      <c r="M94" s="78">
        <f t="shared" si="11"/>
        <v>4.1091637908486159E-4</v>
      </c>
      <c r="N94" s="65"/>
      <c r="O94" s="65"/>
    </row>
    <row r="95" spans="1:15" ht="17.100000000000001" customHeight="1" x14ac:dyDescent="0.2">
      <c r="A95" s="88" t="s">
        <v>192</v>
      </c>
      <c r="B95" s="72" t="s">
        <v>79</v>
      </c>
      <c r="C95" s="77">
        <v>7500</v>
      </c>
      <c r="D95" s="77"/>
      <c r="E95" s="77"/>
      <c r="F95" s="77">
        <v>2500</v>
      </c>
      <c r="G95" s="77"/>
      <c r="H95" s="77"/>
      <c r="I95" s="77"/>
      <c r="J95" s="77">
        <f t="shared" si="9"/>
        <v>10000</v>
      </c>
      <c r="K95" s="77">
        <v>0</v>
      </c>
      <c r="L95" s="77">
        <f t="shared" si="12"/>
        <v>10000</v>
      </c>
      <c r="M95" s="78">
        <f t="shared" si="11"/>
        <v>0</v>
      </c>
      <c r="N95" s="65"/>
      <c r="O95" s="65"/>
    </row>
    <row r="96" spans="1:15" ht="17.100000000000001" customHeight="1" x14ac:dyDescent="0.2">
      <c r="A96" s="88" t="s">
        <v>193</v>
      </c>
      <c r="B96" s="72" t="s">
        <v>194</v>
      </c>
      <c r="C96" s="77">
        <v>1125749.23</v>
      </c>
      <c r="D96" s="77"/>
      <c r="E96" s="77">
        <v>8775</v>
      </c>
      <c r="F96" s="77"/>
      <c r="G96" s="77"/>
      <c r="H96" s="77"/>
      <c r="I96" s="77">
        <v>25000</v>
      </c>
      <c r="J96" s="77">
        <f t="shared" si="9"/>
        <v>1091974.23</v>
      </c>
      <c r="K96" s="77">
        <v>774785.81</v>
      </c>
      <c r="L96" s="77">
        <f t="shared" si="12"/>
        <v>317188.41999999993</v>
      </c>
      <c r="M96" s="78">
        <f t="shared" si="11"/>
        <v>0.22920963254969873</v>
      </c>
      <c r="N96" s="65"/>
      <c r="O96" s="65"/>
    </row>
    <row r="97" spans="1:15" ht="17.100000000000001" customHeight="1" x14ac:dyDescent="0.2">
      <c r="A97" s="88" t="s">
        <v>260</v>
      </c>
      <c r="B97" s="72" t="s">
        <v>261</v>
      </c>
      <c r="C97" s="77">
        <v>0</v>
      </c>
      <c r="D97" s="77">
        <v>1750</v>
      </c>
      <c r="E97" s="77"/>
      <c r="F97" s="77"/>
      <c r="G97" s="77"/>
      <c r="H97" s="77">
        <v>2000</v>
      </c>
      <c r="I97" s="77"/>
      <c r="J97" s="77">
        <f t="shared" si="9"/>
        <v>3750</v>
      </c>
      <c r="K97" s="77">
        <v>878.48</v>
      </c>
      <c r="L97" s="77">
        <f t="shared" si="12"/>
        <v>2871.52</v>
      </c>
      <c r="M97" s="78">
        <f t="shared" si="11"/>
        <v>2.5988612001329674E-4</v>
      </c>
      <c r="N97" s="65"/>
      <c r="O97" s="65"/>
    </row>
    <row r="98" spans="1:15" ht="17.100000000000001" customHeight="1" x14ac:dyDescent="0.2">
      <c r="A98" s="88" t="s">
        <v>195</v>
      </c>
      <c r="B98" s="72" t="s">
        <v>80</v>
      </c>
      <c r="C98" s="77">
        <v>9940</v>
      </c>
      <c r="D98" s="77"/>
      <c r="E98" s="77">
        <v>625</v>
      </c>
      <c r="F98" s="77"/>
      <c r="G98" s="77"/>
      <c r="H98" s="77"/>
      <c r="I98" s="77"/>
      <c r="J98" s="77">
        <f t="shared" si="9"/>
        <v>9315</v>
      </c>
      <c r="K98" s="77">
        <v>4022.4100000000003</v>
      </c>
      <c r="L98" s="77">
        <f t="shared" si="12"/>
        <v>5292.59</v>
      </c>
      <c r="M98" s="78">
        <f t="shared" si="11"/>
        <v>1.1899741917888683E-3</v>
      </c>
      <c r="N98" s="65"/>
      <c r="O98" s="65"/>
    </row>
    <row r="99" spans="1:15" ht="17.100000000000001" customHeight="1" x14ac:dyDescent="0.2">
      <c r="A99" s="88" t="s">
        <v>196</v>
      </c>
      <c r="B99" s="72" t="s">
        <v>197</v>
      </c>
      <c r="C99" s="77">
        <v>2250</v>
      </c>
      <c r="D99" s="77"/>
      <c r="E99" s="77">
        <v>450</v>
      </c>
      <c r="F99" s="77"/>
      <c r="G99" s="77"/>
      <c r="H99" s="77"/>
      <c r="I99" s="77"/>
      <c r="J99" s="77">
        <f t="shared" si="9"/>
        <v>1800</v>
      </c>
      <c r="K99" s="77">
        <v>940.59</v>
      </c>
      <c r="L99" s="77">
        <f t="shared" si="12"/>
        <v>859.41</v>
      </c>
      <c r="M99" s="78">
        <f t="shared" si="11"/>
        <v>2.782605018023254E-4</v>
      </c>
      <c r="N99" s="65"/>
      <c r="O99" s="65"/>
    </row>
    <row r="100" spans="1:15" ht="17.100000000000001" customHeight="1" x14ac:dyDescent="0.2">
      <c r="A100" s="88" t="s">
        <v>198</v>
      </c>
      <c r="B100" s="72" t="s">
        <v>81</v>
      </c>
      <c r="C100" s="77">
        <v>122483.72</v>
      </c>
      <c r="D100" s="77"/>
      <c r="E100" s="77">
        <v>31960</v>
      </c>
      <c r="F100" s="77">
        <v>3600</v>
      </c>
      <c r="G100" s="77"/>
      <c r="H100" s="77"/>
      <c r="I100" s="77"/>
      <c r="J100" s="77">
        <f t="shared" si="9"/>
        <v>94123.72</v>
      </c>
      <c r="K100" s="77">
        <v>29417</v>
      </c>
      <c r="L100" s="77">
        <f t="shared" si="12"/>
        <v>64706.720000000001</v>
      </c>
      <c r="M100" s="78">
        <f t="shared" si="11"/>
        <v>8.7026113200427448E-3</v>
      </c>
      <c r="N100" s="65"/>
      <c r="O100" s="65"/>
    </row>
    <row r="101" spans="1:15" ht="17.100000000000001" customHeight="1" x14ac:dyDescent="0.2">
      <c r="A101" s="88" t="s">
        <v>199</v>
      </c>
      <c r="B101" s="72" t="s">
        <v>200</v>
      </c>
      <c r="C101" s="77">
        <v>650</v>
      </c>
      <c r="D101" s="77"/>
      <c r="E101" s="77">
        <v>150</v>
      </c>
      <c r="F101" s="77"/>
      <c r="G101" s="77"/>
      <c r="H101" s="77"/>
      <c r="I101" s="77"/>
      <c r="J101" s="77">
        <f t="shared" si="9"/>
        <v>500</v>
      </c>
      <c r="K101" s="77">
        <v>0</v>
      </c>
      <c r="L101" s="77">
        <f t="shared" si="12"/>
        <v>500</v>
      </c>
      <c r="M101" s="78">
        <f t="shared" si="11"/>
        <v>0</v>
      </c>
      <c r="N101" s="65"/>
      <c r="O101" s="65"/>
    </row>
    <row r="102" spans="1:15" ht="17.100000000000001" customHeight="1" x14ac:dyDescent="0.2">
      <c r="A102" s="88" t="s">
        <v>201</v>
      </c>
      <c r="B102" s="72" t="s">
        <v>202</v>
      </c>
      <c r="C102" s="77">
        <v>6900</v>
      </c>
      <c r="D102" s="77"/>
      <c r="E102" s="77">
        <v>300</v>
      </c>
      <c r="F102" s="77">
        <v>5250</v>
      </c>
      <c r="G102" s="77"/>
      <c r="H102" s="77"/>
      <c r="I102" s="77"/>
      <c r="J102" s="77">
        <f t="shared" si="9"/>
        <v>11850</v>
      </c>
      <c r="K102" s="77">
        <v>1028.8499999999999</v>
      </c>
      <c r="L102" s="77">
        <f t="shared" si="12"/>
        <v>10821.15</v>
      </c>
      <c r="M102" s="78">
        <f t="shared" si="11"/>
        <v>3.0437099828758805E-4</v>
      </c>
      <c r="N102" s="65"/>
      <c r="O102" s="65"/>
    </row>
    <row r="103" spans="1:15" ht="17.100000000000001" customHeight="1" x14ac:dyDescent="0.2">
      <c r="A103" s="88" t="s">
        <v>203</v>
      </c>
      <c r="B103" s="72" t="s">
        <v>82</v>
      </c>
      <c r="C103" s="77">
        <v>85470</v>
      </c>
      <c r="D103" s="77"/>
      <c r="E103" s="77">
        <v>5669</v>
      </c>
      <c r="F103" s="77">
        <v>15690</v>
      </c>
      <c r="G103" s="77"/>
      <c r="H103" s="77"/>
      <c r="I103" s="77"/>
      <c r="J103" s="77">
        <f t="shared" si="9"/>
        <v>95491</v>
      </c>
      <c r="K103" s="77">
        <v>59066.69</v>
      </c>
      <c r="L103" s="77">
        <f t="shared" si="12"/>
        <v>36424.31</v>
      </c>
      <c r="M103" s="78">
        <f t="shared" si="11"/>
        <v>1.74740607482563E-2</v>
      </c>
      <c r="N103" s="65"/>
      <c r="O103" s="65"/>
    </row>
    <row r="104" spans="1:15" ht="17.100000000000001" customHeight="1" x14ac:dyDescent="0.2">
      <c r="A104" s="88" t="s">
        <v>204</v>
      </c>
      <c r="B104" s="72" t="s">
        <v>83</v>
      </c>
      <c r="C104" s="77">
        <v>15600</v>
      </c>
      <c r="D104" s="77"/>
      <c r="E104" s="77">
        <v>3600</v>
      </c>
      <c r="F104" s="77"/>
      <c r="G104" s="77"/>
      <c r="H104" s="77"/>
      <c r="I104" s="77"/>
      <c r="J104" s="77">
        <f t="shared" si="9"/>
        <v>12000</v>
      </c>
      <c r="K104" s="77">
        <v>2501.4699999999998</v>
      </c>
      <c r="L104" s="77">
        <f t="shared" si="12"/>
        <v>9498.5300000000007</v>
      </c>
      <c r="M104" s="78">
        <f t="shared" si="11"/>
        <v>7.4002519423283549E-4</v>
      </c>
      <c r="N104" s="65"/>
      <c r="O104" s="65"/>
    </row>
    <row r="105" spans="1:15" ht="17.100000000000001" customHeight="1" x14ac:dyDescent="0.2">
      <c r="A105" s="88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  <c r="N105" s="65"/>
      <c r="O105" s="65"/>
    </row>
    <row r="106" spans="1:15" ht="17.100000000000001" customHeight="1" x14ac:dyDescent="0.25">
      <c r="A106" s="86">
        <v>3</v>
      </c>
      <c r="B106" s="87" t="s">
        <v>84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8"/>
      <c r="N106" s="65"/>
      <c r="O106" s="65"/>
    </row>
    <row r="107" spans="1:15" ht="17.100000000000001" customHeight="1" x14ac:dyDescent="0.2">
      <c r="A107" s="88" t="s">
        <v>205</v>
      </c>
      <c r="B107" s="72" t="s">
        <v>85</v>
      </c>
      <c r="C107" s="77">
        <v>162200</v>
      </c>
      <c r="D107" s="77"/>
      <c r="E107" s="77"/>
      <c r="F107" s="77"/>
      <c r="G107" s="77"/>
      <c r="H107" s="77"/>
      <c r="I107" s="77"/>
      <c r="J107" s="77">
        <f t="shared" ref="J107:J121" si="13">C107+D107-E107+F107-G107+H107-I107</f>
        <v>162200</v>
      </c>
      <c r="K107" s="77">
        <v>1750</v>
      </c>
      <c r="L107" s="77">
        <f t="shared" si="12"/>
        <v>160450</v>
      </c>
      <c r="M107" s="78">
        <f t="shared" ref="M107:M112" si="14">K107/$K$123</f>
        <v>5.1771322058927845E-4</v>
      </c>
      <c r="N107" s="65"/>
      <c r="O107" s="65"/>
    </row>
    <row r="108" spans="1:15" ht="17.100000000000001" customHeight="1" x14ac:dyDescent="0.2">
      <c r="A108" s="88" t="s">
        <v>206</v>
      </c>
      <c r="B108" s="72" t="s">
        <v>207</v>
      </c>
      <c r="C108" s="77">
        <v>0</v>
      </c>
      <c r="D108" s="77"/>
      <c r="E108" s="77"/>
      <c r="F108" s="77"/>
      <c r="G108" s="77"/>
      <c r="H108" s="77"/>
      <c r="I108" s="77"/>
      <c r="J108" s="77">
        <f t="shared" si="13"/>
        <v>0</v>
      </c>
      <c r="K108" s="77">
        <v>0</v>
      </c>
      <c r="L108" s="77">
        <f t="shared" si="12"/>
        <v>0</v>
      </c>
      <c r="M108" s="78">
        <f t="shared" si="14"/>
        <v>0</v>
      </c>
      <c r="N108" s="65"/>
      <c r="O108" s="65"/>
    </row>
    <row r="109" spans="1:15" ht="17.100000000000001" customHeight="1" x14ac:dyDescent="0.2">
      <c r="A109" s="88" t="s">
        <v>208</v>
      </c>
      <c r="B109" s="72" t="s">
        <v>209</v>
      </c>
      <c r="C109" s="77">
        <v>1856690.49</v>
      </c>
      <c r="D109" s="77"/>
      <c r="E109" s="77"/>
      <c r="F109" s="77"/>
      <c r="G109" s="77"/>
      <c r="H109" s="77"/>
      <c r="I109" s="77"/>
      <c r="J109" s="77">
        <f t="shared" si="13"/>
        <v>1856690.49</v>
      </c>
      <c r="K109" s="77">
        <v>100787.86</v>
      </c>
      <c r="L109" s="77">
        <f t="shared" si="12"/>
        <v>1755902.63</v>
      </c>
      <c r="M109" s="78">
        <f t="shared" si="14"/>
        <v>2.9816690055372179E-2</v>
      </c>
      <c r="N109" s="65"/>
      <c r="O109" s="65"/>
    </row>
    <row r="110" spans="1:15" ht="17.100000000000001" customHeight="1" x14ac:dyDescent="0.2">
      <c r="A110" s="88" t="s">
        <v>210</v>
      </c>
      <c r="B110" s="72" t="s">
        <v>211</v>
      </c>
      <c r="C110" s="77">
        <v>200000</v>
      </c>
      <c r="D110" s="77"/>
      <c r="E110" s="77"/>
      <c r="F110" s="77"/>
      <c r="G110" s="77"/>
      <c r="H110" s="77"/>
      <c r="I110" s="77"/>
      <c r="J110" s="77">
        <f t="shared" si="13"/>
        <v>200000</v>
      </c>
      <c r="K110" s="77">
        <v>0</v>
      </c>
      <c r="L110" s="77">
        <f t="shared" si="12"/>
        <v>200000</v>
      </c>
      <c r="M110" s="78">
        <f t="shared" si="14"/>
        <v>0</v>
      </c>
      <c r="N110" s="65"/>
      <c r="O110" s="65"/>
    </row>
    <row r="111" spans="1:15" ht="17.100000000000001" customHeight="1" x14ac:dyDescent="0.2">
      <c r="A111" s="88" t="s">
        <v>212</v>
      </c>
      <c r="B111" s="72" t="s">
        <v>213</v>
      </c>
      <c r="C111" s="77">
        <v>500</v>
      </c>
      <c r="D111" s="77"/>
      <c r="E111" s="77"/>
      <c r="F111" s="77">
        <v>1200</v>
      </c>
      <c r="G111" s="77"/>
      <c r="H111" s="77"/>
      <c r="I111" s="77"/>
      <c r="J111" s="77">
        <f t="shared" si="13"/>
        <v>1700</v>
      </c>
      <c r="K111" s="77">
        <v>1199.92</v>
      </c>
      <c r="L111" s="77">
        <f t="shared" si="12"/>
        <v>500.07999999999993</v>
      </c>
      <c r="M111" s="78">
        <f t="shared" si="14"/>
        <v>3.5497968437113545E-4</v>
      </c>
      <c r="N111" s="65"/>
      <c r="O111" s="65"/>
    </row>
    <row r="112" spans="1:15" ht="17.100000000000001" customHeight="1" x14ac:dyDescent="0.2">
      <c r="A112" s="88" t="s">
        <v>214</v>
      </c>
      <c r="B112" s="72" t="s">
        <v>215</v>
      </c>
      <c r="C112" s="77">
        <v>17500</v>
      </c>
      <c r="D112" s="77"/>
      <c r="E112" s="77"/>
      <c r="F112" s="77"/>
      <c r="G112" s="77"/>
      <c r="H112" s="77"/>
      <c r="I112" s="77"/>
      <c r="J112" s="77">
        <f t="shared" si="13"/>
        <v>17500</v>
      </c>
      <c r="K112" s="77">
        <v>5640</v>
      </c>
      <c r="L112" s="77">
        <f t="shared" si="12"/>
        <v>11860</v>
      </c>
      <c r="M112" s="78">
        <f t="shared" si="14"/>
        <v>1.6685157509277316E-3</v>
      </c>
      <c r="N112" s="65"/>
      <c r="O112" s="65"/>
    </row>
    <row r="113" spans="1:15" ht="17.100000000000001" customHeight="1" x14ac:dyDescent="0.2">
      <c r="A113" s="88" t="s">
        <v>216</v>
      </c>
      <c r="B113" s="72" t="s">
        <v>217</v>
      </c>
      <c r="C113" s="77">
        <v>20500</v>
      </c>
      <c r="D113" s="77"/>
      <c r="E113" s="77"/>
      <c r="F113" s="77"/>
      <c r="G113" s="77"/>
      <c r="H113" s="77"/>
      <c r="I113" s="77"/>
      <c r="J113" s="77">
        <f t="shared" si="13"/>
        <v>20500</v>
      </c>
      <c r="K113" s="77">
        <v>0</v>
      </c>
      <c r="L113" s="77">
        <f t="shared" si="12"/>
        <v>20500</v>
      </c>
      <c r="M113" s="78"/>
      <c r="N113" s="65"/>
      <c r="O113" s="65"/>
    </row>
    <row r="114" spans="1:15" ht="17.100000000000001" customHeight="1" x14ac:dyDescent="0.2">
      <c r="A114" s="88" t="s">
        <v>218</v>
      </c>
      <c r="B114" s="72" t="s">
        <v>219</v>
      </c>
      <c r="C114" s="77">
        <v>2784974.71</v>
      </c>
      <c r="D114" s="77"/>
      <c r="E114" s="77"/>
      <c r="F114" s="77"/>
      <c r="G114" s="77"/>
      <c r="H114" s="77"/>
      <c r="I114" s="77"/>
      <c r="J114" s="77">
        <f t="shared" si="13"/>
        <v>2784974.71</v>
      </c>
      <c r="K114" s="77">
        <v>0</v>
      </c>
      <c r="L114" s="77">
        <f t="shared" si="12"/>
        <v>2784974.71</v>
      </c>
      <c r="M114" s="78"/>
      <c r="N114" s="65"/>
      <c r="O114" s="65"/>
    </row>
    <row r="115" spans="1:15" ht="17.100000000000001" customHeight="1" x14ac:dyDescent="0.2">
      <c r="A115" s="88"/>
      <c r="B115" s="72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8"/>
      <c r="N115" s="65"/>
      <c r="O115" s="65"/>
    </row>
    <row r="116" spans="1:15" ht="17.100000000000001" customHeight="1" x14ac:dyDescent="0.25">
      <c r="A116" s="86">
        <v>4</v>
      </c>
      <c r="B116" s="87" t="s">
        <v>86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8"/>
      <c r="N116" s="65"/>
      <c r="O116" s="65"/>
    </row>
    <row r="117" spans="1:15" ht="17.100000000000001" customHeight="1" x14ac:dyDescent="0.2">
      <c r="A117" s="88" t="s">
        <v>220</v>
      </c>
      <c r="B117" s="72" t="s">
        <v>221</v>
      </c>
      <c r="C117" s="77">
        <v>20750</v>
      </c>
      <c r="D117" s="77"/>
      <c r="E117" s="77"/>
      <c r="F117" s="77"/>
      <c r="G117" s="77"/>
      <c r="H117" s="77"/>
      <c r="I117" s="77"/>
      <c r="J117" s="77">
        <f t="shared" si="13"/>
        <v>20750</v>
      </c>
      <c r="K117" s="77">
        <v>0</v>
      </c>
      <c r="L117" s="77">
        <f t="shared" si="12"/>
        <v>20750</v>
      </c>
      <c r="M117" s="78">
        <f>K117/$K$123</f>
        <v>0</v>
      </c>
      <c r="N117" s="65"/>
      <c r="O117" s="65"/>
    </row>
    <row r="118" spans="1:15" ht="17.100000000000001" customHeight="1" x14ac:dyDescent="0.2">
      <c r="A118" s="88" t="s">
        <v>222</v>
      </c>
      <c r="B118" s="72" t="s">
        <v>223</v>
      </c>
      <c r="C118" s="77">
        <v>7600</v>
      </c>
      <c r="D118" s="77"/>
      <c r="E118" s="77"/>
      <c r="F118" s="77"/>
      <c r="G118" s="77"/>
      <c r="H118" s="77"/>
      <c r="I118" s="77"/>
      <c r="J118" s="77">
        <f t="shared" si="13"/>
        <v>7600</v>
      </c>
      <c r="K118" s="77">
        <v>0</v>
      </c>
      <c r="L118" s="77">
        <f t="shared" si="12"/>
        <v>7600</v>
      </c>
      <c r="M118" s="78">
        <f>K118/$K$123</f>
        <v>0</v>
      </c>
      <c r="N118" s="65"/>
      <c r="O118" s="65"/>
    </row>
    <row r="119" spans="1:15" ht="17.100000000000001" customHeight="1" x14ac:dyDescent="0.2">
      <c r="A119" s="88" t="s">
        <v>224</v>
      </c>
      <c r="B119" s="72" t="s">
        <v>240</v>
      </c>
      <c r="C119" s="77">
        <v>9600</v>
      </c>
      <c r="D119" s="77"/>
      <c r="E119" s="77"/>
      <c r="F119" s="77">
        <v>46500</v>
      </c>
      <c r="G119" s="77"/>
      <c r="H119" s="77"/>
      <c r="I119" s="77"/>
      <c r="J119" s="77">
        <f t="shared" si="13"/>
        <v>56100</v>
      </c>
      <c r="K119" s="77">
        <v>53450</v>
      </c>
      <c r="L119" s="77">
        <f t="shared" si="12"/>
        <v>2650</v>
      </c>
      <c r="M119" s="78">
        <f>K119/$K$123</f>
        <v>1.5812440937426817E-2</v>
      </c>
      <c r="N119" s="65"/>
      <c r="O119" s="65"/>
    </row>
    <row r="120" spans="1:15" ht="17.100000000000001" customHeight="1" x14ac:dyDescent="0.2">
      <c r="A120" s="88" t="s">
        <v>226</v>
      </c>
      <c r="B120" s="72" t="s">
        <v>227</v>
      </c>
      <c r="C120" s="77">
        <v>0</v>
      </c>
      <c r="D120" s="77">
        <v>20000</v>
      </c>
      <c r="E120" s="77"/>
      <c r="F120" s="77"/>
      <c r="G120" s="77">
        <v>20000</v>
      </c>
      <c r="H120" s="77"/>
      <c r="I120" s="77"/>
      <c r="J120" s="77">
        <f t="shared" si="13"/>
        <v>0</v>
      </c>
      <c r="K120" s="77">
        <v>0</v>
      </c>
      <c r="L120" s="77">
        <f t="shared" si="12"/>
        <v>0</v>
      </c>
      <c r="M120" s="78">
        <f>K120/$K$123</f>
        <v>0</v>
      </c>
      <c r="N120" s="65"/>
      <c r="O120" s="65"/>
    </row>
    <row r="121" spans="1:15" s="65" customFormat="1" ht="17.100000000000001" customHeight="1" x14ac:dyDescent="0.2">
      <c r="A121" s="88" t="s">
        <v>228</v>
      </c>
      <c r="B121" s="72" t="s">
        <v>87</v>
      </c>
      <c r="C121" s="89">
        <v>11050</v>
      </c>
      <c r="D121" s="89"/>
      <c r="E121" s="89"/>
      <c r="F121" s="89"/>
      <c r="G121" s="89"/>
      <c r="H121" s="89"/>
      <c r="I121" s="89"/>
      <c r="J121" s="89">
        <f t="shared" si="13"/>
        <v>11050</v>
      </c>
      <c r="K121" s="89">
        <v>6370.87</v>
      </c>
      <c r="L121" s="89">
        <f t="shared" si="12"/>
        <v>4679.13</v>
      </c>
      <c r="M121" s="78">
        <f>K121/$K$123</f>
        <v>1.8847335003746378E-3</v>
      </c>
    </row>
    <row r="122" spans="1:15" s="65" customFormat="1" ht="17.100000000000001" customHeight="1" thickBot="1" x14ac:dyDescent="0.25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3"/>
    </row>
    <row r="123" spans="1:15" s="65" customFormat="1" ht="17.100000000000001" customHeight="1" thickBot="1" x14ac:dyDescent="0.3">
      <c r="A123" s="80"/>
      <c r="B123" s="80" t="s">
        <v>88</v>
      </c>
      <c r="C123" s="81">
        <f>SUM(C25:C122)</f>
        <v>10804273.189999999</v>
      </c>
      <c r="D123" s="81">
        <f t="shared" ref="D123:I123" si="15">SUM(D25:D122)</f>
        <v>191539.09</v>
      </c>
      <c r="E123" s="81">
        <f t="shared" si="15"/>
        <v>94829</v>
      </c>
      <c r="F123" s="81">
        <f t="shared" si="15"/>
        <v>361650</v>
      </c>
      <c r="G123" s="81">
        <f t="shared" si="15"/>
        <v>106963</v>
      </c>
      <c r="H123" s="81">
        <f t="shared" si="15"/>
        <v>265000</v>
      </c>
      <c r="I123" s="81">
        <f t="shared" si="15"/>
        <v>25000</v>
      </c>
      <c r="J123" s="81">
        <f>SUM(J25:J122)</f>
        <v>11395670.280000001</v>
      </c>
      <c r="K123" s="81">
        <f>SUM(K25:K122)</f>
        <v>3380249.7800000003</v>
      </c>
      <c r="L123" s="81">
        <f>SUM(L25:L122)</f>
        <v>8015420.5</v>
      </c>
      <c r="M123" s="94">
        <v>1</v>
      </c>
    </row>
    <row r="124" spans="1:15" s="65" customFormat="1" ht="15" x14ac:dyDescent="0.2">
      <c r="C124" s="95"/>
      <c r="D124" s="96"/>
      <c r="E124" s="97"/>
      <c r="F124" s="97"/>
      <c r="G124" s="97"/>
      <c r="H124" s="97"/>
      <c r="I124" s="97"/>
      <c r="J124" s="95"/>
      <c r="K124" s="98"/>
      <c r="L124" s="97"/>
    </row>
    <row r="125" spans="1:15" s="65" customFormat="1" ht="15.75" thickBot="1" x14ac:dyDescent="0.25">
      <c r="C125" s="97"/>
      <c r="D125" s="97"/>
      <c r="E125" s="97"/>
      <c r="F125" s="97"/>
      <c r="G125" s="97"/>
      <c r="H125" s="97"/>
      <c r="I125" s="97"/>
      <c r="J125" s="99"/>
      <c r="K125" s="99"/>
      <c r="L125" s="97"/>
    </row>
    <row r="126" spans="1:15" s="65" customFormat="1" ht="15.75" x14ac:dyDescent="0.25">
      <c r="A126" s="100" t="s">
        <v>89</v>
      </c>
      <c r="B126" s="101"/>
      <c r="C126" s="102"/>
      <c r="D126" s="97"/>
      <c r="E126" s="97"/>
      <c r="F126" s="97"/>
      <c r="G126" s="97"/>
      <c r="H126" s="97"/>
      <c r="I126" s="97"/>
      <c r="J126" s="97"/>
      <c r="K126" s="99"/>
      <c r="L126" s="97"/>
    </row>
    <row r="127" spans="1:15" s="65" customFormat="1" ht="15.75" x14ac:dyDescent="0.25">
      <c r="A127" s="103" t="s">
        <v>3</v>
      </c>
      <c r="B127" s="104"/>
      <c r="C127" s="105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1:15" s="65" customFormat="1" ht="8.1" customHeight="1" thickBot="1" x14ac:dyDescent="0.25">
      <c r="A128" s="106"/>
      <c r="B128" s="107"/>
      <c r="C128" s="108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1:12" s="65" customFormat="1" ht="8.1" customHeight="1" x14ac:dyDescent="0.2">
      <c r="A129" s="109"/>
      <c r="B129" s="110"/>
      <c r="C129" s="111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1:12" s="65" customFormat="1" ht="15.95" customHeight="1" x14ac:dyDescent="0.2">
      <c r="A130" s="112" t="s">
        <v>90</v>
      </c>
      <c r="B130" s="113"/>
      <c r="C130" s="114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1:12" s="65" customFormat="1" ht="15.95" customHeight="1" x14ac:dyDescent="0.2">
      <c r="A131" s="115" t="s">
        <v>229</v>
      </c>
      <c r="B131" s="113"/>
      <c r="C131" s="61">
        <f>198363.1+404138.05-4196.85</f>
        <v>598304.30000000005</v>
      </c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1:12" s="65" customFormat="1" ht="15.95" customHeight="1" x14ac:dyDescent="0.2">
      <c r="A132" s="115" t="s">
        <v>91</v>
      </c>
      <c r="B132" s="113"/>
      <c r="C132" s="61">
        <f>+K20</f>
        <v>3686089.62</v>
      </c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1:12" s="65" customFormat="1" ht="15.95" customHeight="1" x14ac:dyDescent="0.2">
      <c r="A133" s="115" t="s">
        <v>92</v>
      </c>
      <c r="B133" s="113"/>
      <c r="C133" s="116">
        <f>-K123</f>
        <v>-3380249.7800000003</v>
      </c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1:12" s="65" customFormat="1" ht="15.95" customHeight="1" x14ac:dyDescent="0.25">
      <c r="A134" s="117" t="s">
        <v>93</v>
      </c>
      <c r="B134" s="118"/>
      <c r="C134" s="119">
        <f>SUM(C131:C133)</f>
        <v>904144.13999999966</v>
      </c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1:12" s="65" customFormat="1" ht="8.1" customHeight="1" x14ac:dyDescent="0.25">
      <c r="A135" s="117"/>
      <c r="B135" s="118"/>
      <c r="C135" s="119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1:12" s="65" customFormat="1" ht="15.95" customHeight="1" x14ac:dyDescent="0.2">
      <c r="A136" s="112" t="s">
        <v>94</v>
      </c>
      <c r="B136" s="113"/>
      <c r="C136" s="61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1:12" s="65" customFormat="1" ht="15.95" customHeight="1" x14ac:dyDescent="0.2">
      <c r="A137" s="115" t="s">
        <v>95</v>
      </c>
      <c r="B137" s="113"/>
      <c r="C137" s="61">
        <v>3740.11</v>
      </c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1:12" s="65" customFormat="1" ht="15.95" customHeight="1" x14ac:dyDescent="0.2">
      <c r="A138" s="115" t="s">
        <v>280</v>
      </c>
      <c r="B138" s="113"/>
      <c r="C138" s="61">
        <v>219.61</v>
      </c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1:12" s="65" customFormat="1" ht="15.95" customHeight="1" x14ac:dyDescent="0.2">
      <c r="A139" s="115" t="s">
        <v>97</v>
      </c>
      <c r="B139" s="113"/>
      <c r="C139" s="61">
        <v>11775.72</v>
      </c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1:12" s="65" customFormat="1" ht="15.95" customHeight="1" x14ac:dyDescent="0.2">
      <c r="A140" s="115" t="s">
        <v>288</v>
      </c>
      <c r="B140" s="113"/>
      <c r="C140" s="61">
        <v>4113.1000000000004</v>
      </c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1:12" s="65" customFormat="1" ht="5.0999999999999996" customHeight="1" x14ac:dyDescent="0.2">
      <c r="A141" s="115"/>
      <c r="B141" s="113"/>
      <c r="C141" s="116"/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1:12" s="65" customFormat="1" ht="15.75" x14ac:dyDescent="0.25">
      <c r="A142" s="117"/>
      <c r="B142" s="118"/>
      <c r="C142" s="119">
        <f>SUM(C137:C141)</f>
        <v>19848.54</v>
      </c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1:12" s="65" customFormat="1" ht="5.0999999999999996" customHeight="1" x14ac:dyDescent="0.25">
      <c r="A143" s="117"/>
      <c r="B143" s="118"/>
      <c r="C143" s="120"/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1:12" s="65" customFormat="1" ht="8.1" customHeight="1" x14ac:dyDescent="0.25">
      <c r="A144" s="117"/>
      <c r="B144" s="118"/>
      <c r="C144" s="119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1:12" s="65" customFormat="1" ht="16.5" thickBot="1" x14ac:dyDescent="0.3">
      <c r="A145" s="121" t="s">
        <v>289</v>
      </c>
      <c r="B145" s="122"/>
      <c r="C145" s="123">
        <f>C134+C142</f>
        <v>923992.6799999997</v>
      </c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1:12" s="65" customFormat="1" ht="15" x14ac:dyDescent="0.2">
      <c r="A146" s="65" t="s">
        <v>277</v>
      </c>
      <c r="C146" s="99">
        <f>517891.64-C145</f>
        <v>-406101.03999999969</v>
      </c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1:12" s="65" customFormat="1" ht="15" x14ac:dyDescent="0.2">
      <c r="C147" s="97"/>
    </row>
    <row r="148" spans="1:12" s="65" customFormat="1" ht="15" x14ac:dyDescent="0.2">
      <c r="B148" s="65" t="s">
        <v>287</v>
      </c>
    </row>
    <row r="149" spans="1:12" s="65" customFormat="1" ht="15" x14ac:dyDescent="0.2"/>
    <row r="150" spans="1:12" s="65" customFormat="1" ht="15" x14ac:dyDescent="0.2"/>
    <row r="151" spans="1:12" s="65" customFormat="1" ht="15" x14ac:dyDescent="0.2"/>
    <row r="152" spans="1:12" s="65" customFormat="1" ht="15" x14ac:dyDescent="0.2"/>
    <row r="153" spans="1:12" s="65" customFormat="1" ht="15" x14ac:dyDescent="0.2">
      <c r="B153" s="65" t="s">
        <v>98</v>
      </c>
      <c r="F153" s="65" t="s">
        <v>99</v>
      </c>
      <c r="I153" s="124" t="s">
        <v>104</v>
      </c>
    </row>
    <row r="154" spans="1:12" s="65" customFormat="1" ht="15" x14ac:dyDescent="0.2">
      <c r="B154" s="65" t="s">
        <v>100</v>
      </c>
      <c r="F154" s="65" t="s">
        <v>101</v>
      </c>
      <c r="I154" s="124" t="s">
        <v>105</v>
      </c>
    </row>
    <row r="162" spans="7:7" x14ac:dyDescent="0.2">
      <c r="G162" s="130"/>
    </row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9370078740157483" footer="0.39370078740157483"/>
  <pageSetup scale="61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showGridLines="0" zoomScale="85" zoomScaleNormal="85" workbookViewId="0">
      <selection activeCell="A23" sqref="A23"/>
    </sheetView>
  </sheetViews>
  <sheetFormatPr baseColWidth="10" defaultRowHeight="14.25" x14ac:dyDescent="0.2"/>
  <cols>
    <col min="1" max="1" width="11.7109375" style="66" customWidth="1"/>
    <col min="2" max="2" width="48.7109375" style="66" customWidth="1"/>
    <col min="3" max="3" width="16.28515625" style="66" customWidth="1"/>
    <col min="4" max="4" width="13.42578125" style="66" customWidth="1"/>
    <col min="5" max="5" width="14.5703125" style="66" customWidth="1"/>
    <col min="6" max="6" width="13" style="66" customWidth="1"/>
    <col min="7" max="7" width="14.5703125" style="66" customWidth="1"/>
    <col min="8" max="8" width="12.85546875" style="66" customWidth="1"/>
    <col min="9" max="9" width="14.140625" style="66" customWidth="1"/>
    <col min="10" max="10" width="13.5703125" style="66" customWidth="1"/>
    <col min="11" max="11" width="13.85546875" style="66" customWidth="1"/>
    <col min="12" max="12" width="16.28515625" style="66" customWidth="1"/>
    <col min="13" max="13" width="15.7109375" style="145" customWidth="1"/>
    <col min="14" max="14" width="16.28515625" style="66" customWidth="1"/>
    <col min="15" max="15" width="10.7109375" style="66" customWidth="1"/>
    <col min="16" max="16" width="7" style="66" customWidth="1"/>
    <col min="17" max="17" width="18.7109375" style="66" customWidth="1"/>
    <col min="18" max="16384" width="11.42578125" style="66"/>
  </cols>
  <sheetData>
    <row r="1" spans="1:17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32"/>
      <c r="N1" s="64"/>
      <c r="O1" s="64"/>
      <c r="P1" s="65"/>
      <c r="Q1" s="65"/>
    </row>
    <row r="2" spans="1:17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32"/>
      <c r="N2" s="64"/>
      <c r="O2" s="64"/>
      <c r="P2" s="65"/>
      <c r="Q2" s="65"/>
    </row>
    <row r="3" spans="1:17" ht="15.75" x14ac:dyDescent="0.25">
      <c r="A3" s="64" t="s">
        <v>294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32"/>
      <c r="N3" s="64"/>
      <c r="O3" s="64"/>
      <c r="P3" s="65"/>
      <c r="Q3" s="65"/>
    </row>
    <row r="4" spans="1:17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32"/>
      <c r="N4" s="64"/>
      <c r="O4" s="64"/>
      <c r="P4" s="65"/>
      <c r="Q4" s="65"/>
    </row>
    <row r="5" spans="1:17" ht="15.7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33"/>
      <c r="N5" s="65"/>
      <c r="O5" s="65"/>
      <c r="P5" s="65"/>
      <c r="Q5" s="65"/>
    </row>
    <row r="6" spans="1:17" ht="16.5" thickBot="1" x14ac:dyDescent="0.3">
      <c r="A6" s="67" t="s">
        <v>102</v>
      </c>
      <c r="B6" s="181" t="s">
        <v>5</v>
      </c>
      <c r="C6" s="68" t="s">
        <v>6</v>
      </c>
      <c r="D6" s="69" t="s">
        <v>7</v>
      </c>
      <c r="E6" s="69"/>
      <c r="F6" s="69" t="s">
        <v>8</v>
      </c>
      <c r="G6" s="69"/>
      <c r="H6" s="69" t="s">
        <v>9</v>
      </c>
      <c r="I6" s="69"/>
      <c r="J6" s="69" t="s">
        <v>295</v>
      </c>
      <c r="K6" s="69"/>
      <c r="L6" s="67" t="s">
        <v>6</v>
      </c>
      <c r="M6" s="185" t="s">
        <v>10</v>
      </c>
      <c r="N6" s="67" t="s">
        <v>11</v>
      </c>
      <c r="O6" s="68" t="s">
        <v>12</v>
      </c>
      <c r="P6" s="65"/>
      <c r="Q6" s="65"/>
    </row>
    <row r="7" spans="1:17" ht="16.5" thickBot="1" x14ac:dyDescent="0.3">
      <c r="A7" s="70" t="s">
        <v>103</v>
      </c>
      <c r="B7" s="182"/>
      <c r="C7" s="70" t="s">
        <v>13</v>
      </c>
      <c r="D7" s="70" t="s">
        <v>14</v>
      </c>
      <c r="E7" s="70" t="s">
        <v>15</v>
      </c>
      <c r="F7" s="70" t="s">
        <v>14</v>
      </c>
      <c r="G7" s="70" t="s">
        <v>15</v>
      </c>
      <c r="H7" s="70" t="s">
        <v>14</v>
      </c>
      <c r="I7" s="70" t="s">
        <v>15</v>
      </c>
      <c r="J7" s="70" t="s">
        <v>14</v>
      </c>
      <c r="K7" s="70" t="s">
        <v>15</v>
      </c>
      <c r="L7" s="70" t="s">
        <v>16</v>
      </c>
      <c r="M7" s="186"/>
      <c r="N7" s="70" t="s">
        <v>17</v>
      </c>
      <c r="O7" s="71" t="s">
        <v>18</v>
      </c>
      <c r="P7" s="65"/>
      <c r="Q7" s="65"/>
    </row>
    <row r="8" spans="1:17" s="113" customFormat="1" ht="8.1" customHeight="1" x14ac:dyDescent="0.2">
      <c r="A8" s="91"/>
      <c r="B8" s="9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34"/>
      <c r="N8" s="125"/>
      <c r="O8" s="91"/>
    </row>
    <row r="9" spans="1:17" s="113" customFormat="1" ht="17.100000000000001" customHeight="1" x14ac:dyDescent="0.25">
      <c r="A9" s="73"/>
      <c r="B9" s="74" t="s">
        <v>19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135"/>
      <c r="N9" s="75"/>
      <c r="O9" s="73"/>
    </row>
    <row r="10" spans="1:17" s="65" customFormat="1" ht="17.100000000000001" customHeight="1" x14ac:dyDescent="0.25">
      <c r="A10" s="72"/>
      <c r="B10" s="76" t="s">
        <v>20</v>
      </c>
      <c r="C10" s="77">
        <f>198363.1+404138.05</f>
        <v>602501.15</v>
      </c>
      <c r="D10" s="77"/>
      <c r="E10" s="77">
        <v>4196.8500000000004</v>
      </c>
      <c r="F10" s="77"/>
      <c r="G10" s="77"/>
      <c r="H10" s="77"/>
      <c r="I10" s="77"/>
      <c r="J10" s="77"/>
      <c r="K10" s="77"/>
      <c r="L10" s="77">
        <f>C10+D10-E10+F10-G10+H10-I10</f>
        <v>598304.30000000005</v>
      </c>
      <c r="M10" s="136">
        <v>0</v>
      </c>
      <c r="N10" s="77">
        <f>L10-M10</f>
        <v>598304.30000000005</v>
      </c>
      <c r="O10" s="78">
        <f>M10/$M$20</f>
        <v>0</v>
      </c>
    </row>
    <row r="11" spans="1:17" s="65" customFormat="1" ht="17.100000000000001" customHeight="1" x14ac:dyDescent="0.2">
      <c r="A11" s="72" t="s">
        <v>241</v>
      </c>
      <c r="B11" s="72" t="s">
        <v>265</v>
      </c>
      <c r="C11" s="77">
        <v>15000</v>
      </c>
      <c r="D11" s="77">
        <v>13000</v>
      </c>
      <c r="E11" s="77"/>
      <c r="F11" s="77">
        <v>12500</v>
      </c>
      <c r="G11" s="77"/>
      <c r="H11" s="77"/>
      <c r="I11" s="77"/>
      <c r="J11" s="77"/>
      <c r="K11" s="77"/>
      <c r="L11" s="77">
        <f>C11+D11-E11+F11-G11+H11-I11</f>
        <v>40500</v>
      </c>
      <c r="M11" s="136">
        <v>31232</v>
      </c>
      <c r="N11" s="77">
        <f>L11-M11</f>
        <v>9268</v>
      </c>
      <c r="O11" s="78">
        <f>M11/$M$20</f>
        <v>7.98364646953309E-3</v>
      </c>
    </row>
    <row r="12" spans="1:17" s="65" customFormat="1" ht="17.100000000000001" customHeight="1" x14ac:dyDescent="0.2">
      <c r="A12" s="72" t="s">
        <v>242</v>
      </c>
      <c r="B12" s="72" t="s">
        <v>266</v>
      </c>
      <c r="C12" s="77">
        <v>65000</v>
      </c>
      <c r="D12" s="77"/>
      <c r="E12" s="77"/>
      <c r="F12" s="77"/>
      <c r="G12" s="77"/>
      <c r="H12" s="77"/>
      <c r="I12" s="77"/>
      <c r="J12" s="77"/>
      <c r="K12" s="77"/>
      <c r="L12" s="77">
        <f t="shared" ref="L12:L19" si="0">C12+D12-E12+F12-G12+H12-I12</f>
        <v>65000</v>
      </c>
      <c r="M12" s="136">
        <v>60090.559999999998</v>
      </c>
      <c r="N12" s="77">
        <f t="shared" ref="N12:N14" si="1">L12-M12</f>
        <v>4909.4400000000023</v>
      </c>
      <c r="O12" s="78">
        <f t="shared" ref="O12:O19" si="2">M12/$M$20</f>
        <v>1.5360584887175534E-2</v>
      </c>
    </row>
    <row r="13" spans="1:17" s="65" customFormat="1" ht="17.100000000000001" customHeight="1" x14ac:dyDescent="0.2">
      <c r="A13" s="79" t="s">
        <v>243</v>
      </c>
      <c r="B13" s="72" t="s">
        <v>267</v>
      </c>
      <c r="C13" s="77">
        <v>3500</v>
      </c>
      <c r="D13" s="77"/>
      <c r="E13" s="77"/>
      <c r="F13" s="77"/>
      <c r="G13" s="77"/>
      <c r="H13" s="77"/>
      <c r="I13" s="77"/>
      <c r="J13" s="77"/>
      <c r="K13" s="77"/>
      <c r="L13" s="77">
        <f t="shared" si="0"/>
        <v>3500</v>
      </c>
      <c r="M13" s="136">
        <v>0</v>
      </c>
      <c r="N13" s="77">
        <f t="shared" si="1"/>
        <v>3500</v>
      </c>
      <c r="O13" s="78">
        <f t="shared" si="2"/>
        <v>0</v>
      </c>
    </row>
    <row r="14" spans="1:17" s="65" customFormat="1" ht="17.100000000000001" customHeight="1" x14ac:dyDescent="0.2">
      <c r="A14" s="79">
        <v>15.1</v>
      </c>
      <c r="B14" s="72" t="s">
        <v>247</v>
      </c>
      <c r="C14" s="77">
        <v>3000</v>
      </c>
      <c r="D14" s="77"/>
      <c r="E14" s="77"/>
      <c r="F14" s="77"/>
      <c r="G14" s="77"/>
      <c r="H14" s="77"/>
      <c r="I14" s="77"/>
      <c r="J14" s="77"/>
      <c r="K14" s="77"/>
      <c r="L14" s="77">
        <f t="shared" si="0"/>
        <v>3000</v>
      </c>
      <c r="M14" s="136">
        <v>692.17</v>
      </c>
      <c r="N14" s="77">
        <f t="shared" si="1"/>
        <v>2307.83</v>
      </c>
      <c r="O14" s="78">
        <f t="shared" si="2"/>
        <v>1.7693521314090415E-4</v>
      </c>
    </row>
    <row r="15" spans="1:17" s="65" customFormat="1" ht="17.100000000000001" customHeight="1" x14ac:dyDescent="0.2">
      <c r="A15" s="72" t="s">
        <v>24</v>
      </c>
      <c r="B15" s="72" t="s">
        <v>25</v>
      </c>
      <c r="C15" s="77">
        <v>2745062.93</v>
      </c>
      <c r="D15" s="77">
        <v>95966.17</v>
      </c>
      <c r="E15" s="77"/>
      <c r="F15" s="77"/>
      <c r="G15" s="77"/>
      <c r="H15" s="77"/>
      <c r="I15" s="77"/>
      <c r="J15" s="77"/>
      <c r="K15" s="77"/>
      <c r="L15" s="77">
        <f t="shared" si="0"/>
        <v>2841029.1</v>
      </c>
      <c r="M15" s="136">
        <v>1810546.8</v>
      </c>
      <c r="N15" s="77">
        <f>L15-M15</f>
        <v>1030482.3</v>
      </c>
      <c r="O15" s="78">
        <f t="shared" si="2"/>
        <v>0.46281908195903032</v>
      </c>
    </row>
    <row r="16" spans="1:17" s="65" customFormat="1" ht="17.100000000000001" customHeight="1" x14ac:dyDescent="0.2">
      <c r="A16" s="72" t="s">
        <v>26</v>
      </c>
      <c r="B16" s="72" t="s">
        <v>27</v>
      </c>
      <c r="C16" s="77">
        <v>4934974.71</v>
      </c>
      <c r="D16" s="77"/>
      <c r="E16" s="77"/>
      <c r="F16" s="77"/>
      <c r="G16" s="77"/>
      <c r="H16" s="77"/>
      <c r="I16" s="77"/>
      <c r="J16" s="77"/>
      <c r="K16" s="77"/>
      <c r="L16" s="77">
        <f t="shared" si="0"/>
        <v>4934974.71</v>
      </c>
      <c r="M16" s="136">
        <v>0</v>
      </c>
      <c r="N16" s="77">
        <f t="shared" ref="N16:N19" si="3">L16-M16</f>
        <v>4934974.71</v>
      </c>
      <c r="O16" s="78">
        <f t="shared" si="2"/>
        <v>0</v>
      </c>
    </row>
    <row r="17" spans="1:15" s="65" customFormat="1" ht="17.100000000000001" customHeight="1" x14ac:dyDescent="0.2">
      <c r="A17" s="72" t="s">
        <v>28</v>
      </c>
      <c r="B17" s="72" t="s">
        <v>29</v>
      </c>
      <c r="C17" s="77">
        <v>1290000</v>
      </c>
      <c r="D17" s="77"/>
      <c r="E17" s="77">
        <v>8059.23</v>
      </c>
      <c r="F17" s="77">
        <v>242187</v>
      </c>
      <c r="G17" s="77"/>
      <c r="H17" s="77">
        <v>240000</v>
      </c>
      <c r="I17" s="77"/>
      <c r="J17" s="77"/>
      <c r="K17" s="77"/>
      <c r="L17" s="77">
        <f t="shared" si="0"/>
        <v>1764127.77</v>
      </c>
      <c r="M17" s="136">
        <v>1234649.53</v>
      </c>
      <c r="N17" s="77">
        <f t="shared" si="3"/>
        <v>529478.24</v>
      </c>
      <c r="O17" s="78">
        <f t="shared" si="2"/>
        <v>0.31560596059474866</v>
      </c>
    </row>
    <row r="18" spans="1:15" s="65" customFormat="1" ht="17.100000000000001" customHeight="1" x14ac:dyDescent="0.2">
      <c r="A18" s="72" t="s">
        <v>30</v>
      </c>
      <c r="B18" s="72" t="s">
        <v>31</v>
      </c>
      <c r="C18" s="77">
        <v>20000</v>
      </c>
      <c r="D18" s="77"/>
      <c r="E18" s="77"/>
      <c r="F18" s="77"/>
      <c r="G18" s="77"/>
      <c r="H18" s="77"/>
      <c r="I18" s="77"/>
      <c r="J18" s="77"/>
      <c r="K18" s="77"/>
      <c r="L18" s="77">
        <f t="shared" si="0"/>
        <v>20000</v>
      </c>
      <c r="M18" s="136">
        <v>0</v>
      </c>
      <c r="N18" s="77">
        <f t="shared" si="3"/>
        <v>20000</v>
      </c>
      <c r="O18" s="78">
        <f t="shared" si="2"/>
        <v>0</v>
      </c>
    </row>
    <row r="19" spans="1:15" s="65" customFormat="1" ht="17.100000000000001" customHeight="1" thickBot="1" x14ac:dyDescent="0.25">
      <c r="A19" s="72"/>
      <c r="B19" s="72" t="s">
        <v>32</v>
      </c>
      <c r="C19" s="77">
        <f>850000+14137.2+261097.2</f>
        <v>1125234.3999999999</v>
      </c>
      <c r="D19" s="77"/>
      <c r="E19" s="77"/>
      <c r="F19" s="77"/>
      <c r="G19" s="77"/>
      <c r="H19" s="77"/>
      <c r="I19" s="77"/>
      <c r="J19" s="77"/>
      <c r="K19" s="77"/>
      <c r="L19" s="77">
        <f t="shared" si="0"/>
        <v>1125234.3999999999</v>
      </c>
      <c r="M19" s="136">
        <v>774785.81</v>
      </c>
      <c r="N19" s="77">
        <f t="shared" si="3"/>
        <v>350448.58999999985</v>
      </c>
      <c r="O19" s="78">
        <f t="shared" si="2"/>
        <v>0.19805379087637154</v>
      </c>
    </row>
    <row r="20" spans="1:15" s="65" customFormat="1" ht="17.100000000000001" customHeight="1" thickBot="1" x14ac:dyDescent="0.3">
      <c r="A20" s="80"/>
      <c r="B20" s="80" t="s">
        <v>33</v>
      </c>
      <c r="C20" s="81">
        <f>SUM(C10:C19)</f>
        <v>10804273.189999999</v>
      </c>
      <c r="D20" s="81">
        <f t="shared" ref="D20:E20" si="4">SUM(D10:D19)</f>
        <v>108966.17</v>
      </c>
      <c r="E20" s="81">
        <f t="shared" si="4"/>
        <v>12256.08</v>
      </c>
      <c r="F20" s="81">
        <f t="shared" ref="F20:I20" si="5">SUM(F11:F18)</f>
        <v>254687</v>
      </c>
      <c r="G20" s="81">
        <f t="shared" si="5"/>
        <v>0</v>
      </c>
      <c r="H20" s="81">
        <f t="shared" si="5"/>
        <v>240000</v>
      </c>
      <c r="I20" s="81">
        <f t="shared" si="5"/>
        <v>0</v>
      </c>
      <c r="J20" s="81">
        <f t="shared" ref="J20:K20" si="6">SUM(J11:J18)</f>
        <v>0</v>
      </c>
      <c r="K20" s="81">
        <f t="shared" si="6"/>
        <v>0</v>
      </c>
      <c r="L20" s="81">
        <f>SUM(L10:L19)</f>
        <v>11395670.279999999</v>
      </c>
      <c r="M20" s="137">
        <f>SUM(M10:M19)</f>
        <v>3911996.87</v>
      </c>
      <c r="N20" s="81">
        <f>SUM(N10:N19)</f>
        <v>7483673.4100000001</v>
      </c>
      <c r="O20" s="82">
        <v>0</v>
      </c>
    </row>
    <row r="21" spans="1:15" s="113" customFormat="1" ht="8.1" customHeight="1" x14ac:dyDescent="0.2">
      <c r="A21" s="126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38"/>
      <c r="N21" s="127"/>
      <c r="O21" s="128"/>
    </row>
    <row r="22" spans="1:15" s="113" customFormat="1" ht="17.100000000000001" customHeight="1" x14ac:dyDescent="0.25">
      <c r="A22" s="129" t="s">
        <v>4</v>
      </c>
      <c r="B22" s="74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139"/>
      <c r="N22" s="83"/>
      <c r="O22" s="84"/>
    </row>
    <row r="23" spans="1:15" s="65" customFormat="1" ht="17.100000000000001" customHeight="1" x14ac:dyDescent="0.25">
      <c r="A23" s="76"/>
      <c r="B23" s="8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36"/>
      <c r="N23" s="77"/>
      <c r="O23" s="78"/>
    </row>
    <row r="24" spans="1:15" s="65" customFormat="1" ht="17.100000000000001" customHeight="1" x14ac:dyDescent="0.25">
      <c r="A24" s="86">
        <v>0</v>
      </c>
      <c r="B24" s="87" t="s">
        <v>35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36"/>
      <c r="N24" s="77"/>
      <c r="O24" s="78"/>
    </row>
    <row r="25" spans="1:15" s="65" customFormat="1" ht="17.100000000000001" customHeight="1" x14ac:dyDescent="0.2">
      <c r="A25" s="88" t="s">
        <v>36</v>
      </c>
      <c r="B25" s="72" t="s">
        <v>106</v>
      </c>
      <c r="C25" s="77">
        <v>773194.52</v>
      </c>
      <c r="D25" s="77"/>
      <c r="E25" s="77"/>
      <c r="F25" s="77"/>
      <c r="G25" s="77"/>
      <c r="H25" s="77"/>
      <c r="I25" s="77"/>
      <c r="J25" s="77"/>
      <c r="K25" s="77"/>
      <c r="L25" s="77">
        <f t="shared" ref="L25:L31" si="7">C25+D25-E25+F25-G25+H25-I25</f>
        <v>773194.52</v>
      </c>
      <c r="M25" s="136">
        <v>482216.12999999995</v>
      </c>
      <c r="N25" s="77">
        <f t="shared" ref="N25:N88" si="8">L25-M25</f>
        <v>290978.39000000007</v>
      </c>
      <c r="O25" s="78">
        <f t="shared" ref="O25:O36" si="9">M25/$M$123</f>
        <v>0.12675075291095564</v>
      </c>
    </row>
    <row r="26" spans="1:15" s="65" customFormat="1" ht="17.100000000000001" customHeight="1" x14ac:dyDescent="0.2">
      <c r="A26" s="88" t="s">
        <v>37</v>
      </c>
      <c r="B26" s="72" t="s">
        <v>107</v>
      </c>
      <c r="C26" s="77">
        <v>4500</v>
      </c>
      <c r="D26" s="77"/>
      <c r="E26" s="77"/>
      <c r="F26" s="77"/>
      <c r="G26" s="77"/>
      <c r="H26" s="77"/>
      <c r="I26" s="77"/>
      <c r="J26" s="77"/>
      <c r="K26" s="77"/>
      <c r="L26" s="77">
        <f t="shared" si="7"/>
        <v>4500</v>
      </c>
      <c r="M26" s="136">
        <v>3000</v>
      </c>
      <c r="N26" s="77">
        <f t="shared" si="8"/>
        <v>1500</v>
      </c>
      <c r="O26" s="78">
        <f t="shared" si="9"/>
        <v>7.8855151264406464E-4</v>
      </c>
    </row>
    <row r="27" spans="1:15" s="65" customFormat="1" ht="17.100000000000001" customHeight="1" x14ac:dyDescent="0.2">
      <c r="A27" s="88" t="s">
        <v>38</v>
      </c>
      <c r="B27" s="72" t="s">
        <v>108</v>
      </c>
      <c r="C27" s="77">
        <v>140850</v>
      </c>
      <c r="D27" s="77"/>
      <c r="E27" s="77"/>
      <c r="F27" s="77"/>
      <c r="G27" s="77"/>
      <c r="H27" s="77">
        <v>20000</v>
      </c>
      <c r="I27" s="77"/>
      <c r="J27" s="77"/>
      <c r="K27" s="77"/>
      <c r="L27" s="77">
        <f t="shared" si="7"/>
        <v>160850</v>
      </c>
      <c r="M27" s="136">
        <v>84207.63</v>
      </c>
      <c r="N27" s="77">
        <f t="shared" si="8"/>
        <v>76642.37</v>
      </c>
      <c r="O27" s="78">
        <f t="shared" si="9"/>
        <v>2.2134018004223908E-2</v>
      </c>
    </row>
    <row r="28" spans="1:15" s="65" customFormat="1" ht="17.100000000000001" customHeight="1" x14ac:dyDescent="0.2">
      <c r="A28" s="131" t="s">
        <v>281</v>
      </c>
      <c r="B28" s="72" t="s">
        <v>282</v>
      </c>
      <c r="C28" s="77">
        <v>0</v>
      </c>
      <c r="D28" s="77"/>
      <c r="E28" s="77"/>
      <c r="F28" s="77">
        <v>79750</v>
      </c>
      <c r="G28" s="77"/>
      <c r="H28" s="77"/>
      <c r="I28" s="77"/>
      <c r="J28" s="77"/>
      <c r="K28" s="77"/>
      <c r="L28" s="77">
        <f t="shared" si="7"/>
        <v>79750</v>
      </c>
      <c r="M28" s="136">
        <v>8580.65</v>
      </c>
      <c r="N28" s="77">
        <f t="shared" si="8"/>
        <v>71169.350000000006</v>
      </c>
      <c r="O28" s="78">
        <f t="shared" si="9"/>
        <v>2.2554281789897643E-3</v>
      </c>
    </row>
    <row r="29" spans="1:15" s="65" customFormat="1" ht="17.100000000000001" customHeight="1" x14ac:dyDescent="0.2">
      <c r="A29" s="88" t="s">
        <v>40</v>
      </c>
      <c r="B29" s="72" t="s">
        <v>283</v>
      </c>
      <c r="C29" s="77">
        <v>0</v>
      </c>
      <c r="D29" s="77"/>
      <c r="E29" s="77"/>
      <c r="F29" s="77">
        <v>3250</v>
      </c>
      <c r="G29" s="77"/>
      <c r="H29" s="77"/>
      <c r="I29" s="77"/>
      <c r="J29" s="77"/>
      <c r="K29" s="77"/>
      <c r="L29" s="77">
        <f t="shared" si="7"/>
        <v>3250</v>
      </c>
      <c r="M29" s="136">
        <v>548.39</v>
      </c>
      <c r="N29" s="77">
        <f t="shared" si="8"/>
        <v>2701.61</v>
      </c>
      <c r="O29" s="78">
        <f t="shared" si="9"/>
        <v>1.4414458800629287E-4</v>
      </c>
    </row>
    <row r="30" spans="1:15" s="65" customFormat="1" ht="17.100000000000001" customHeight="1" x14ac:dyDescent="0.2">
      <c r="A30" s="88" t="s">
        <v>41</v>
      </c>
      <c r="B30" s="72" t="s">
        <v>110</v>
      </c>
      <c r="C30" s="77">
        <v>15400</v>
      </c>
      <c r="D30" s="77"/>
      <c r="E30" s="77"/>
      <c r="F30" s="77"/>
      <c r="G30" s="77"/>
      <c r="H30" s="77"/>
      <c r="I30" s="77"/>
      <c r="J30" s="77"/>
      <c r="K30" s="77"/>
      <c r="L30" s="77">
        <f t="shared" si="7"/>
        <v>15400</v>
      </c>
      <c r="M30" s="136">
        <v>13852.64</v>
      </c>
      <c r="N30" s="77">
        <f t="shared" si="8"/>
        <v>1547.3600000000006</v>
      </c>
      <c r="O30" s="78">
        <f t="shared" si="9"/>
        <v>3.6411734087045586E-3</v>
      </c>
    </row>
    <row r="31" spans="1:15" s="65" customFormat="1" ht="17.100000000000001" customHeight="1" x14ac:dyDescent="0.2">
      <c r="A31" s="88" t="s">
        <v>42</v>
      </c>
      <c r="B31" s="72" t="s">
        <v>111</v>
      </c>
      <c r="C31" s="77">
        <v>42629.35</v>
      </c>
      <c r="D31" s="77"/>
      <c r="E31" s="77"/>
      <c r="F31" s="77"/>
      <c r="G31" s="77"/>
      <c r="H31" s="77">
        <v>25000</v>
      </c>
      <c r="I31" s="77"/>
      <c r="J31" s="77"/>
      <c r="K31" s="77"/>
      <c r="L31" s="77">
        <f t="shared" si="7"/>
        <v>67629.350000000006</v>
      </c>
      <c r="M31" s="136">
        <v>36196.199999999997</v>
      </c>
      <c r="N31" s="77">
        <f t="shared" si="8"/>
        <v>31433.150000000009</v>
      </c>
      <c r="O31" s="78">
        <f t="shared" si="9"/>
        <v>9.5141894206556971E-3</v>
      </c>
    </row>
    <row r="32" spans="1:15" s="65" customFormat="1" ht="17.100000000000001" customHeight="1" x14ac:dyDescent="0.2">
      <c r="A32" s="88" t="s">
        <v>43</v>
      </c>
      <c r="B32" s="72" t="s">
        <v>234</v>
      </c>
      <c r="C32" s="77">
        <v>89741</v>
      </c>
      <c r="D32" s="77"/>
      <c r="E32" s="77"/>
      <c r="F32" s="77"/>
      <c r="G32" s="77"/>
      <c r="H32" s="77">
        <v>3500</v>
      </c>
      <c r="I32" s="77"/>
      <c r="J32" s="77"/>
      <c r="K32" s="77"/>
      <c r="L32" s="77">
        <f t="shared" ref="L32:L36" si="10">C32+D32-E32+F32-G32+H32-I32</f>
        <v>93241</v>
      </c>
      <c r="M32" s="136">
        <v>48943.670000000006</v>
      </c>
      <c r="N32" s="77">
        <f t="shared" si="8"/>
        <v>44297.329999999994</v>
      </c>
      <c r="O32" s="78">
        <f t="shared" si="9"/>
        <v>1.2864868337617311E-2</v>
      </c>
    </row>
    <row r="33" spans="1:17" ht="17.100000000000001" customHeight="1" x14ac:dyDescent="0.2">
      <c r="A33" s="88" t="s">
        <v>44</v>
      </c>
      <c r="B33" s="72" t="s">
        <v>235</v>
      </c>
      <c r="C33" s="77">
        <v>7478.416666666667</v>
      </c>
      <c r="D33" s="77"/>
      <c r="E33" s="77"/>
      <c r="F33" s="77"/>
      <c r="G33" s="77"/>
      <c r="H33" s="77">
        <v>2000</v>
      </c>
      <c r="I33" s="77"/>
      <c r="J33" s="77"/>
      <c r="K33" s="77"/>
      <c r="L33" s="77">
        <f t="shared" si="10"/>
        <v>9478.4166666666679</v>
      </c>
      <c r="M33" s="136">
        <v>4587.0300000000007</v>
      </c>
      <c r="N33" s="77">
        <f t="shared" si="8"/>
        <v>4891.3866666666672</v>
      </c>
      <c r="O33" s="78">
        <f t="shared" si="9"/>
        <v>1.2057031483479015E-3</v>
      </c>
      <c r="P33" s="65"/>
      <c r="Q33" s="65"/>
    </row>
    <row r="34" spans="1:17" ht="17.100000000000001" customHeight="1" x14ac:dyDescent="0.2">
      <c r="A34" s="88" t="s">
        <v>45</v>
      </c>
      <c r="B34" s="72" t="s">
        <v>46</v>
      </c>
      <c r="C34" s="77">
        <v>64432.876666666663</v>
      </c>
      <c r="D34" s="77"/>
      <c r="E34" s="77"/>
      <c r="F34" s="77"/>
      <c r="G34" s="77"/>
      <c r="H34" s="77">
        <v>12000</v>
      </c>
      <c r="I34" s="77"/>
      <c r="J34" s="77"/>
      <c r="K34" s="77"/>
      <c r="L34" s="77">
        <f t="shared" si="10"/>
        <v>76432.876666666663</v>
      </c>
      <c r="M34" s="136">
        <v>2656.18</v>
      </c>
      <c r="N34" s="77">
        <f t="shared" si="8"/>
        <v>73776.69666666667</v>
      </c>
      <c r="O34" s="78">
        <f t="shared" si="9"/>
        <v>6.9817825228497051E-4</v>
      </c>
      <c r="P34" s="65"/>
      <c r="Q34" s="65"/>
    </row>
    <row r="35" spans="1:17" ht="17.100000000000001" customHeight="1" x14ac:dyDescent="0.2">
      <c r="A35" s="88" t="s">
        <v>47</v>
      </c>
      <c r="B35" s="72" t="s">
        <v>114</v>
      </c>
      <c r="C35" s="77">
        <v>64432.876666666663</v>
      </c>
      <c r="D35" s="77"/>
      <c r="E35" s="77"/>
      <c r="F35" s="77"/>
      <c r="G35" s="77"/>
      <c r="H35" s="77">
        <v>6000</v>
      </c>
      <c r="I35" s="77"/>
      <c r="J35" s="77"/>
      <c r="K35" s="77"/>
      <c r="L35" s="77">
        <f t="shared" si="10"/>
        <v>70432.876666666663</v>
      </c>
      <c r="M35" s="136">
        <v>63540.950000000004</v>
      </c>
      <c r="N35" s="77">
        <f t="shared" si="8"/>
        <v>6891.926666666659</v>
      </c>
      <c r="O35" s="78">
        <f t="shared" si="9"/>
        <v>1.6701770745780296E-2</v>
      </c>
      <c r="P35" s="65"/>
      <c r="Q35" s="65"/>
    </row>
    <row r="36" spans="1:17" ht="17.100000000000001" customHeight="1" x14ac:dyDescent="0.2">
      <c r="A36" s="88" t="s">
        <v>48</v>
      </c>
      <c r="B36" s="72" t="s">
        <v>49</v>
      </c>
      <c r="C36" s="77">
        <v>4000</v>
      </c>
      <c r="D36" s="77"/>
      <c r="E36" s="77"/>
      <c r="F36" s="77"/>
      <c r="G36" s="77"/>
      <c r="H36" s="77">
        <v>5500</v>
      </c>
      <c r="I36" s="77"/>
      <c r="J36" s="77"/>
      <c r="K36" s="77"/>
      <c r="L36" s="77">
        <f t="shared" si="10"/>
        <v>9500</v>
      </c>
      <c r="M36" s="136">
        <v>234.52</v>
      </c>
      <c r="N36" s="77">
        <f t="shared" si="8"/>
        <v>9265.48</v>
      </c>
      <c r="O36" s="78">
        <f t="shared" si="9"/>
        <v>6.1643700248428693E-5</v>
      </c>
      <c r="P36" s="65"/>
      <c r="Q36" s="65"/>
    </row>
    <row r="37" spans="1:17" ht="17.100000000000001" customHeight="1" x14ac:dyDescent="0.2">
      <c r="A37" s="88"/>
      <c r="B37" s="7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36"/>
      <c r="N37" s="77"/>
      <c r="O37" s="78"/>
      <c r="P37" s="65"/>
      <c r="Q37" s="65"/>
    </row>
    <row r="38" spans="1:17" ht="17.100000000000001" customHeight="1" x14ac:dyDescent="0.25">
      <c r="A38" s="86">
        <v>1</v>
      </c>
      <c r="B38" s="87" t="s">
        <v>50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36"/>
      <c r="N38" s="77"/>
      <c r="O38" s="78"/>
      <c r="P38" s="65"/>
      <c r="Q38" s="65"/>
    </row>
    <row r="39" spans="1:17" ht="17.100000000000001" customHeight="1" x14ac:dyDescent="0.2">
      <c r="A39" s="88" t="s">
        <v>115</v>
      </c>
      <c r="B39" s="72" t="s">
        <v>51</v>
      </c>
      <c r="C39" s="77">
        <v>11723.320000000002</v>
      </c>
      <c r="D39" s="77"/>
      <c r="E39" s="77"/>
      <c r="F39" s="77"/>
      <c r="G39" s="77"/>
      <c r="H39" s="77"/>
      <c r="I39" s="77"/>
      <c r="J39" s="77"/>
      <c r="K39" s="77"/>
      <c r="L39" s="77">
        <f t="shared" ref="L39:L104" si="11">C39+D39-E39+F39-G39+H39-I39</f>
        <v>11723.320000000002</v>
      </c>
      <c r="M39" s="136">
        <v>5372.3099999999995</v>
      </c>
      <c r="N39" s="77">
        <f t="shared" si="8"/>
        <v>6351.010000000002</v>
      </c>
      <c r="O39" s="78">
        <f t="shared" ref="O39:O72" si="12">M39/$M$123</f>
        <v>1.4121143922976116E-3</v>
      </c>
      <c r="P39" s="65"/>
      <c r="Q39" s="65"/>
    </row>
    <row r="40" spans="1:17" ht="17.100000000000001" customHeight="1" x14ac:dyDescent="0.2">
      <c r="A40" s="88" t="s">
        <v>116</v>
      </c>
      <c r="B40" s="72" t="s">
        <v>52</v>
      </c>
      <c r="C40" s="77">
        <v>24780</v>
      </c>
      <c r="D40" s="77"/>
      <c r="E40" s="77"/>
      <c r="F40" s="77"/>
      <c r="G40" s="77"/>
      <c r="H40" s="77"/>
      <c r="I40" s="77"/>
      <c r="J40" s="77"/>
      <c r="K40" s="77"/>
      <c r="L40" s="77">
        <f t="shared" si="11"/>
        <v>24780</v>
      </c>
      <c r="M40" s="136">
        <v>15074.5</v>
      </c>
      <c r="N40" s="77">
        <f t="shared" si="8"/>
        <v>9705.5</v>
      </c>
      <c r="O40" s="78">
        <f t="shared" si="12"/>
        <v>3.9623399257843177E-3</v>
      </c>
      <c r="P40" s="65"/>
      <c r="Q40" s="65"/>
    </row>
    <row r="41" spans="1:17" ht="17.100000000000001" customHeight="1" x14ac:dyDescent="0.2">
      <c r="A41" s="88" t="s">
        <v>117</v>
      </c>
      <c r="B41" s="72" t="s">
        <v>53</v>
      </c>
      <c r="C41" s="77">
        <v>2500</v>
      </c>
      <c r="D41" s="77"/>
      <c r="E41" s="77"/>
      <c r="F41" s="77"/>
      <c r="G41" s="77"/>
      <c r="H41" s="77"/>
      <c r="I41" s="77"/>
      <c r="J41" s="77"/>
      <c r="K41" s="77"/>
      <c r="L41" s="77">
        <f t="shared" si="11"/>
        <v>2500</v>
      </c>
      <c r="M41" s="136">
        <v>226</v>
      </c>
      <c r="N41" s="77">
        <f t="shared" si="8"/>
        <v>2274</v>
      </c>
      <c r="O41" s="78">
        <f t="shared" si="12"/>
        <v>5.9404213952519542E-5</v>
      </c>
      <c r="P41" s="65"/>
      <c r="Q41" s="65"/>
    </row>
    <row r="42" spans="1:17" ht="17.100000000000001" customHeight="1" x14ac:dyDescent="0.2">
      <c r="A42" s="88" t="s">
        <v>118</v>
      </c>
      <c r="B42" s="72" t="s">
        <v>54</v>
      </c>
      <c r="C42" s="77">
        <v>4464</v>
      </c>
      <c r="D42" s="77">
        <v>1200</v>
      </c>
      <c r="E42" s="77"/>
      <c r="F42" s="77">
        <v>4500</v>
      </c>
      <c r="G42" s="77"/>
      <c r="H42" s="77"/>
      <c r="I42" s="77"/>
      <c r="J42" s="77"/>
      <c r="K42" s="77"/>
      <c r="L42" s="77">
        <f t="shared" si="11"/>
        <v>10164</v>
      </c>
      <c r="M42" s="136">
        <v>7519.04</v>
      </c>
      <c r="N42" s="77">
        <f t="shared" si="8"/>
        <v>2644.96</v>
      </c>
      <c r="O42" s="78">
        <f t="shared" si="12"/>
        <v>1.9763834552104093E-3</v>
      </c>
      <c r="P42" s="65"/>
      <c r="Q42" s="65"/>
    </row>
    <row r="43" spans="1:17" ht="17.100000000000001" customHeight="1" x14ac:dyDescent="0.2">
      <c r="A43" s="88" t="s">
        <v>119</v>
      </c>
      <c r="B43" s="72" t="s">
        <v>120</v>
      </c>
      <c r="C43" s="77">
        <v>12200</v>
      </c>
      <c r="D43" s="77"/>
      <c r="E43" s="77"/>
      <c r="F43" s="77">
        <v>3500</v>
      </c>
      <c r="G43" s="77"/>
      <c r="H43" s="77"/>
      <c r="I43" s="77"/>
      <c r="J43" s="77"/>
      <c r="K43" s="77"/>
      <c r="L43" s="77">
        <f t="shared" si="11"/>
        <v>15700</v>
      </c>
      <c r="M43" s="136">
        <v>12972.5</v>
      </c>
      <c r="N43" s="77">
        <f t="shared" si="8"/>
        <v>2727.5</v>
      </c>
      <c r="O43" s="78">
        <f t="shared" si="12"/>
        <v>3.409828165925043E-3</v>
      </c>
      <c r="P43" s="65"/>
      <c r="Q43" s="65"/>
    </row>
    <row r="44" spans="1:17" ht="17.100000000000001" customHeight="1" x14ac:dyDescent="0.2">
      <c r="A44" s="88" t="s">
        <v>121</v>
      </c>
      <c r="B44" s="72" t="s">
        <v>122</v>
      </c>
      <c r="C44" s="77">
        <v>1218400</v>
      </c>
      <c r="D44" s="77">
        <v>64062.78</v>
      </c>
      <c r="E44" s="77"/>
      <c r="F44" s="77"/>
      <c r="G44" s="77"/>
      <c r="H44" s="77">
        <v>77500</v>
      </c>
      <c r="I44" s="77"/>
      <c r="J44" s="77">
        <v>100000</v>
      </c>
      <c r="K44" s="77"/>
      <c r="L44" s="77">
        <f t="shared" si="11"/>
        <v>1359962.78</v>
      </c>
      <c r="M44" s="136">
        <v>888841.15</v>
      </c>
      <c r="N44" s="77">
        <f t="shared" si="8"/>
        <v>471121.63</v>
      </c>
      <c r="O44" s="78">
        <f t="shared" si="12"/>
        <v>0.23363234444426334</v>
      </c>
      <c r="P44" s="65"/>
      <c r="Q44" s="65"/>
    </row>
    <row r="45" spans="1:17" ht="17.100000000000001" customHeight="1" x14ac:dyDescent="0.2">
      <c r="A45" s="88" t="s">
        <v>123</v>
      </c>
      <c r="B45" s="72" t="s">
        <v>124</v>
      </c>
      <c r="C45" s="77">
        <v>0</v>
      </c>
      <c r="D45" s="77"/>
      <c r="E45" s="77"/>
      <c r="F45" s="77"/>
      <c r="G45" s="77"/>
      <c r="H45" s="77"/>
      <c r="I45" s="77"/>
      <c r="J45" s="77"/>
      <c r="K45" s="77"/>
      <c r="L45" s="77">
        <f t="shared" si="11"/>
        <v>0</v>
      </c>
      <c r="M45" s="136">
        <v>0</v>
      </c>
      <c r="N45" s="77">
        <f t="shared" si="8"/>
        <v>0</v>
      </c>
      <c r="O45" s="78">
        <f t="shared" si="12"/>
        <v>0</v>
      </c>
      <c r="P45" s="65"/>
      <c r="Q45" s="65"/>
    </row>
    <row r="46" spans="1:17" ht="17.100000000000001" customHeight="1" x14ac:dyDescent="0.2">
      <c r="A46" s="88" t="s">
        <v>125</v>
      </c>
      <c r="B46" s="72" t="s">
        <v>126</v>
      </c>
      <c r="C46" s="77">
        <v>0</v>
      </c>
      <c r="D46" s="77"/>
      <c r="E46" s="77"/>
      <c r="F46" s="77"/>
      <c r="G46" s="77"/>
      <c r="H46" s="77"/>
      <c r="I46" s="77"/>
      <c r="J46" s="77"/>
      <c r="K46" s="77"/>
      <c r="L46" s="77">
        <f t="shared" si="11"/>
        <v>0</v>
      </c>
      <c r="M46" s="136">
        <v>0</v>
      </c>
      <c r="N46" s="77">
        <f t="shared" si="8"/>
        <v>0</v>
      </c>
      <c r="O46" s="78">
        <f t="shared" si="12"/>
        <v>0</v>
      </c>
      <c r="P46" s="65"/>
      <c r="Q46" s="65"/>
    </row>
    <row r="47" spans="1:17" ht="17.100000000000001" customHeight="1" x14ac:dyDescent="0.2">
      <c r="A47" s="88" t="s">
        <v>127</v>
      </c>
      <c r="B47" s="72" t="s">
        <v>55</v>
      </c>
      <c r="C47" s="77">
        <v>104664</v>
      </c>
      <c r="D47" s="77">
        <v>13644</v>
      </c>
      <c r="E47" s="77"/>
      <c r="F47" s="77"/>
      <c r="G47" s="77"/>
      <c r="H47" s="77"/>
      <c r="I47" s="77"/>
      <c r="J47" s="77"/>
      <c r="K47" s="77"/>
      <c r="L47" s="77">
        <f t="shared" si="11"/>
        <v>118308</v>
      </c>
      <c r="M47" s="136">
        <v>40359.050000000003</v>
      </c>
      <c r="N47" s="77">
        <f t="shared" si="8"/>
        <v>77948.95</v>
      </c>
      <c r="O47" s="78">
        <f t="shared" si="12"/>
        <v>1.0608396642125813E-2</v>
      </c>
      <c r="P47" s="65"/>
      <c r="Q47" s="65"/>
    </row>
    <row r="48" spans="1:17" ht="17.100000000000001" customHeight="1" x14ac:dyDescent="0.2">
      <c r="A48" s="88" t="s">
        <v>128</v>
      </c>
      <c r="B48" s="72" t="s">
        <v>237</v>
      </c>
      <c r="C48" s="77">
        <v>459374.84</v>
      </c>
      <c r="D48" s="77">
        <v>11548.31</v>
      </c>
      <c r="E48" s="77"/>
      <c r="F48" s="77"/>
      <c r="G48" s="77"/>
      <c r="H48" s="77"/>
      <c r="I48" s="77"/>
      <c r="J48" s="77"/>
      <c r="K48" s="77"/>
      <c r="L48" s="77">
        <f t="shared" si="11"/>
        <v>470923.15</v>
      </c>
      <c r="M48" s="136">
        <v>248494.44</v>
      </c>
      <c r="N48" s="77">
        <f t="shared" si="8"/>
        <v>222428.71000000002</v>
      </c>
      <c r="O48" s="78">
        <f t="shared" si="12"/>
        <v>6.5316888848546598E-2</v>
      </c>
      <c r="P48" s="65"/>
      <c r="Q48" s="65"/>
    </row>
    <row r="49" spans="1:17" ht="17.100000000000001" customHeight="1" x14ac:dyDescent="0.2">
      <c r="A49" s="88" t="s">
        <v>130</v>
      </c>
      <c r="B49" s="72" t="s">
        <v>56</v>
      </c>
      <c r="C49" s="77">
        <v>9000</v>
      </c>
      <c r="D49" s="77"/>
      <c r="E49" s="77"/>
      <c r="F49" s="77"/>
      <c r="G49" s="77"/>
      <c r="H49" s="77">
        <v>7500</v>
      </c>
      <c r="I49" s="77"/>
      <c r="J49" s="77"/>
      <c r="K49" s="77"/>
      <c r="L49" s="77">
        <f t="shared" si="11"/>
        <v>16500</v>
      </c>
      <c r="M49" s="136">
        <v>9488.19</v>
      </c>
      <c r="N49" s="77">
        <f t="shared" si="8"/>
        <v>7011.8099999999995</v>
      </c>
      <c r="O49" s="78">
        <f t="shared" si="12"/>
        <v>2.4939755255847626E-3</v>
      </c>
      <c r="P49" s="65"/>
      <c r="Q49" s="65"/>
    </row>
    <row r="50" spans="1:17" ht="17.100000000000001" customHeight="1" x14ac:dyDescent="0.2">
      <c r="A50" s="88" t="s">
        <v>131</v>
      </c>
      <c r="B50" s="72" t="s">
        <v>57</v>
      </c>
      <c r="C50" s="77">
        <v>25000</v>
      </c>
      <c r="D50" s="77"/>
      <c r="E50" s="77"/>
      <c r="F50" s="77">
        <v>27000</v>
      </c>
      <c r="G50" s="77"/>
      <c r="H50" s="77">
        <v>35000</v>
      </c>
      <c r="I50" s="77"/>
      <c r="J50" s="77"/>
      <c r="K50" s="77"/>
      <c r="L50" s="77">
        <f t="shared" si="11"/>
        <v>87000</v>
      </c>
      <c r="M50" s="136">
        <v>46209.279999999999</v>
      </c>
      <c r="N50" s="77">
        <f t="shared" si="8"/>
        <v>40790.720000000001</v>
      </c>
      <c r="O50" s="78">
        <f t="shared" si="12"/>
        <v>1.2146132547397707E-2</v>
      </c>
      <c r="P50" s="65"/>
      <c r="Q50" s="65"/>
    </row>
    <row r="51" spans="1:17" ht="17.100000000000001" customHeight="1" x14ac:dyDescent="0.2">
      <c r="A51" s="88" t="s">
        <v>132</v>
      </c>
      <c r="B51" s="72" t="s">
        <v>133</v>
      </c>
      <c r="C51" s="77">
        <v>70560</v>
      </c>
      <c r="D51" s="77"/>
      <c r="E51" s="77"/>
      <c r="F51" s="77"/>
      <c r="G51" s="77"/>
      <c r="H51" s="77"/>
      <c r="I51" s="77"/>
      <c r="J51" s="77"/>
      <c r="K51" s="77"/>
      <c r="L51" s="77">
        <f t="shared" si="11"/>
        <v>70560</v>
      </c>
      <c r="M51" s="136">
        <v>47040</v>
      </c>
      <c r="N51" s="77">
        <f t="shared" si="8"/>
        <v>23520</v>
      </c>
      <c r="O51" s="78">
        <f t="shared" si="12"/>
        <v>1.2364487718258934E-2</v>
      </c>
      <c r="P51" s="65"/>
      <c r="Q51" s="65"/>
    </row>
    <row r="52" spans="1:17" ht="17.100000000000001" customHeight="1" x14ac:dyDescent="0.2">
      <c r="A52" s="88" t="s">
        <v>134</v>
      </c>
      <c r="B52" s="72" t="s">
        <v>58</v>
      </c>
      <c r="C52" s="77">
        <v>35200</v>
      </c>
      <c r="D52" s="77"/>
      <c r="E52" s="77"/>
      <c r="F52" s="77"/>
      <c r="G52" s="77"/>
      <c r="H52" s="77"/>
      <c r="I52" s="77"/>
      <c r="J52" s="77"/>
      <c r="K52" s="77"/>
      <c r="L52" s="77">
        <f t="shared" si="11"/>
        <v>35200</v>
      </c>
      <c r="M52" s="136">
        <v>28875</v>
      </c>
      <c r="N52" s="77">
        <f t="shared" si="8"/>
        <v>6325</v>
      </c>
      <c r="O52" s="78">
        <f t="shared" si="12"/>
        <v>7.5898083091991229E-3</v>
      </c>
      <c r="P52" s="65"/>
      <c r="Q52" s="65"/>
    </row>
    <row r="53" spans="1:17" ht="17.100000000000001" customHeight="1" x14ac:dyDescent="0.2">
      <c r="A53" s="88" t="s">
        <v>135</v>
      </c>
      <c r="B53" s="72" t="s">
        <v>59</v>
      </c>
      <c r="C53" s="77">
        <v>6550</v>
      </c>
      <c r="D53" s="77"/>
      <c r="E53" s="77"/>
      <c r="F53" s="77"/>
      <c r="G53" s="77"/>
      <c r="H53" s="77"/>
      <c r="I53" s="77"/>
      <c r="J53" s="77"/>
      <c r="K53" s="77"/>
      <c r="L53" s="77">
        <f t="shared" si="11"/>
        <v>6550</v>
      </c>
      <c r="M53" s="136">
        <v>3335</v>
      </c>
      <c r="N53" s="77">
        <f t="shared" si="8"/>
        <v>3215</v>
      </c>
      <c r="O53" s="78">
        <f t="shared" si="12"/>
        <v>8.7660643155598522E-4</v>
      </c>
      <c r="P53" s="65"/>
      <c r="Q53" s="65"/>
    </row>
    <row r="54" spans="1:17" ht="17.100000000000001" customHeight="1" x14ac:dyDescent="0.2">
      <c r="A54" s="88" t="s">
        <v>136</v>
      </c>
      <c r="B54" s="72" t="s">
        <v>137</v>
      </c>
      <c r="C54" s="77">
        <v>2000</v>
      </c>
      <c r="D54" s="77"/>
      <c r="E54" s="77"/>
      <c r="F54" s="77"/>
      <c r="G54" s="77"/>
      <c r="H54" s="77"/>
      <c r="I54" s="77"/>
      <c r="J54" s="77"/>
      <c r="K54" s="77"/>
      <c r="L54" s="77">
        <f t="shared" si="11"/>
        <v>2000</v>
      </c>
      <c r="M54" s="136">
        <v>630</v>
      </c>
      <c r="N54" s="77">
        <f t="shared" si="8"/>
        <v>1370</v>
      </c>
      <c r="O54" s="78">
        <f t="shared" si="12"/>
        <v>1.6559581765525358E-4</v>
      </c>
      <c r="P54" s="65"/>
      <c r="Q54" s="65"/>
    </row>
    <row r="55" spans="1:17" ht="17.100000000000001" customHeight="1" x14ac:dyDescent="0.2">
      <c r="A55" s="88" t="s">
        <v>138</v>
      </c>
      <c r="B55" s="72" t="s">
        <v>139</v>
      </c>
      <c r="C55" s="77">
        <v>10000</v>
      </c>
      <c r="D55" s="77"/>
      <c r="E55" s="77"/>
      <c r="F55" s="77"/>
      <c r="G55" s="77"/>
      <c r="H55" s="77"/>
      <c r="I55" s="77"/>
      <c r="J55" s="77">
        <v>35000</v>
      </c>
      <c r="K55" s="77"/>
      <c r="L55" s="77">
        <f t="shared" si="11"/>
        <v>10000</v>
      </c>
      <c r="M55" s="136">
        <v>295</v>
      </c>
      <c r="N55" s="77">
        <f t="shared" si="8"/>
        <v>9705</v>
      </c>
      <c r="O55" s="78">
        <f t="shared" si="12"/>
        <v>7.7540898743333031E-5</v>
      </c>
      <c r="P55" s="65"/>
      <c r="Q55" s="65"/>
    </row>
    <row r="56" spans="1:17" ht="17.100000000000001" customHeight="1" x14ac:dyDescent="0.2">
      <c r="A56" s="88" t="s">
        <v>140</v>
      </c>
      <c r="B56" s="72" t="s">
        <v>141</v>
      </c>
      <c r="C56" s="77">
        <v>6900</v>
      </c>
      <c r="D56" s="77"/>
      <c r="E56" s="77"/>
      <c r="F56" s="77">
        <v>850</v>
      </c>
      <c r="G56" s="77"/>
      <c r="H56" s="77"/>
      <c r="I56" s="77"/>
      <c r="J56" s="77"/>
      <c r="K56" s="77"/>
      <c r="L56" s="77">
        <f t="shared" si="11"/>
        <v>7750</v>
      </c>
      <c r="M56" s="136">
        <v>749.71</v>
      </c>
      <c r="N56" s="77">
        <f t="shared" si="8"/>
        <v>7000.29</v>
      </c>
      <c r="O56" s="78">
        <f t="shared" si="12"/>
        <v>1.9706165151479391E-4</v>
      </c>
      <c r="P56" s="65"/>
      <c r="Q56" s="65"/>
    </row>
    <row r="57" spans="1:17" ht="17.100000000000001" customHeight="1" x14ac:dyDescent="0.2">
      <c r="A57" s="88" t="s">
        <v>142</v>
      </c>
      <c r="B57" s="72" t="s">
        <v>143</v>
      </c>
      <c r="C57" s="77">
        <v>3000</v>
      </c>
      <c r="D57" s="77"/>
      <c r="E57" s="77"/>
      <c r="F57" s="77"/>
      <c r="G57" s="77"/>
      <c r="H57" s="77">
        <v>2500</v>
      </c>
      <c r="I57" s="77"/>
      <c r="J57" s="77"/>
      <c r="K57" s="77"/>
      <c r="L57" s="77">
        <f>C57+D57-E57+F57-G57+H57-I57</f>
        <v>5500</v>
      </c>
      <c r="M57" s="136">
        <v>3000</v>
      </c>
      <c r="N57" s="77">
        <f t="shared" si="8"/>
        <v>2500</v>
      </c>
      <c r="O57" s="78">
        <f t="shared" si="12"/>
        <v>7.8855151264406464E-4</v>
      </c>
      <c r="P57" s="65"/>
      <c r="Q57" s="65"/>
    </row>
    <row r="58" spans="1:17" ht="17.100000000000001" customHeight="1" x14ac:dyDescent="0.2">
      <c r="A58" s="88" t="s">
        <v>144</v>
      </c>
      <c r="B58" s="72" t="s">
        <v>145</v>
      </c>
      <c r="C58" s="77">
        <v>5000</v>
      </c>
      <c r="D58" s="77">
        <v>250</v>
      </c>
      <c r="E58" s="77"/>
      <c r="F58" s="77">
        <v>12285</v>
      </c>
      <c r="G58" s="77"/>
      <c r="H58" s="77">
        <v>8500</v>
      </c>
      <c r="I58" s="77"/>
      <c r="J58" s="77"/>
      <c r="K58" s="77"/>
      <c r="L58" s="77">
        <f t="shared" si="11"/>
        <v>26035</v>
      </c>
      <c r="M58" s="136">
        <v>11200</v>
      </c>
      <c r="N58" s="77">
        <f t="shared" si="8"/>
        <v>14835</v>
      </c>
      <c r="O58" s="78">
        <f t="shared" si="12"/>
        <v>2.9439256472045083E-3</v>
      </c>
      <c r="P58" s="65"/>
      <c r="Q58" s="65"/>
    </row>
    <row r="59" spans="1:17" ht="17.100000000000001" customHeight="1" x14ac:dyDescent="0.2">
      <c r="A59" s="88" t="s">
        <v>146</v>
      </c>
      <c r="B59" s="72" t="s">
        <v>147</v>
      </c>
      <c r="C59" s="77">
        <v>180000</v>
      </c>
      <c r="D59" s="77"/>
      <c r="E59" s="77"/>
      <c r="F59" s="77"/>
      <c r="G59" s="77"/>
      <c r="H59" s="77"/>
      <c r="I59" s="77"/>
      <c r="J59" s="77"/>
      <c r="K59" s="77"/>
      <c r="L59" s="77">
        <f t="shared" si="11"/>
        <v>180000</v>
      </c>
      <c r="M59" s="136">
        <v>84000</v>
      </c>
      <c r="N59" s="77">
        <f t="shared" si="8"/>
        <v>96000</v>
      </c>
      <c r="O59" s="78">
        <f t="shared" si="12"/>
        <v>2.207944235403381E-2</v>
      </c>
      <c r="P59" s="65"/>
      <c r="Q59" s="65"/>
    </row>
    <row r="60" spans="1:17" ht="17.100000000000001" customHeight="1" x14ac:dyDescent="0.2">
      <c r="A60" s="88" t="s">
        <v>148</v>
      </c>
      <c r="B60" s="72" t="s">
        <v>149</v>
      </c>
      <c r="C60" s="77">
        <v>0</v>
      </c>
      <c r="D60" s="77"/>
      <c r="E60" s="77"/>
      <c r="F60" s="77"/>
      <c r="G60" s="77"/>
      <c r="H60" s="77"/>
      <c r="I60" s="77"/>
      <c r="J60" s="77"/>
      <c r="K60" s="77"/>
      <c r="L60" s="77">
        <f t="shared" si="11"/>
        <v>0</v>
      </c>
      <c r="M60" s="136">
        <v>0</v>
      </c>
      <c r="N60" s="77">
        <f t="shared" si="8"/>
        <v>0</v>
      </c>
      <c r="O60" s="78">
        <f t="shared" si="12"/>
        <v>0</v>
      </c>
      <c r="P60" s="65"/>
      <c r="Q60" s="65"/>
    </row>
    <row r="61" spans="1:17" ht="17.100000000000001" customHeight="1" x14ac:dyDescent="0.2">
      <c r="A61" s="88" t="s">
        <v>150</v>
      </c>
      <c r="B61" s="72" t="s">
        <v>151</v>
      </c>
      <c r="C61" s="77">
        <v>40600</v>
      </c>
      <c r="D61" s="77"/>
      <c r="E61" s="77">
        <v>16600</v>
      </c>
      <c r="F61" s="77"/>
      <c r="G61" s="77"/>
      <c r="H61" s="77"/>
      <c r="I61" s="77"/>
      <c r="J61" s="77"/>
      <c r="K61" s="77"/>
      <c r="L61" s="77">
        <f t="shared" si="11"/>
        <v>24000</v>
      </c>
      <c r="M61" s="136">
        <v>12775</v>
      </c>
      <c r="N61" s="77">
        <f t="shared" si="8"/>
        <v>11225</v>
      </c>
      <c r="O61" s="78">
        <f t="shared" si="12"/>
        <v>3.3579151913426422E-3</v>
      </c>
      <c r="P61" s="65"/>
      <c r="Q61" s="65"/>
    </row>
    <row r="62" spans="1:17" ht="17.100000000000001" customHeight="1" x14ac:dyDescent="0.2">
      <c r="A62" s="88" t="s">
        <v>152</v>
      </c>
      <c r="B62" s="72" t="s">
        <v>153</v>
      </c>
      <c r="C62" s="77">
        <v>60000</v>
      </c>
      <c r="D62" s="77"/>
      <c r="E62" s="77">
        <v>6000</v>
      </c>
      <c r="F62" s="77"/>
      <c r="G62" s="77"/>
      <c r="H62" s="77"/>
      <c r="I62" s="77"/>
      <c r="J62" s="77"/>
      <c r="K62" s="77"/>
      <c r="L62" s="77">
        <f t="shared" si="11"/>
        <v>54000</v>
      </c>
      <c r="M62" s="136">
        <v>36000</v>
      </c>
      <c r="N62" s="77">
        <f t="shared" si="8"/>
        <v>18000</v>
      </c>
      <c r="O62" s="78">
        <f t="shared" si="12"/>
        <v>9.4626181517287761E-3</v>
      </c>
      <c r="P62" s="65"/>
      <c r="Q62" s="65"/>
    </row>
    <row r="63" spans="1:17" ht="17.100000000000001" customHeight="1" x14ac:dyDescent="0.2">
      <c r="A63" s="88" t="s">
        <v>154</v>
      </c>
      <c r="B63" s="72" t="s">
        <v>60</v>
      </c>
      <c r="C63" s="77">
        <v>11300</v>
      </c>
      <c r="D63" s="77"/>
      <c r="E63" s="77"/>
      <c r="F63" s="77">
        <v>10000</v>
      </c>
      <c r="G63" s="77"/>
      <c r="H63" s="77"/>
      <c r="I63" s="77"/>
      <c r="J63" s="77"/>
      <c r="K63" s="77"/>
      <c r="L63" s="77">
        <f t="shared" si="11"/>
        <v>21300</v>
      </c>
      <c r="M63" s="136">
        <v>4656</v>
      </c>
      <c r="N63" s="77">
        <f t="shared" si="8"/>
        <v>16644</v>
      </c>
      <c r="O63" s="78">
        <f t="shared" si="12"/>
        <v>1.2238319476235884E-3</v>
      </c>
      <c r="P63" s="65"/>
      <c r="Q63" s="65"/>
    </row>
    <row r="64" spans="1:17" ht="17.100000000000001" customHeight="1" x14ac:dyDescent="0.2">
      <c r="A64" s="88" t="s">
        <v>155</v>
      </c>
      <c r="B64" s="72" t="s">
        <v>268</v>
      </c>
      <c r="C64" s="77">
        <v>15500</v>
      </c>
      <c r="D64" s="77"/>
      <c r="E64" s="77"/>
      <c r="F64" s="77">
        <v>18000</v>
      </c>
      <c r="G64" s="77"/>
      <c r="H64" s="77"/>
      <c r="I64" s="77"/>
      <c r="J64" s="77"/>
      <c r="K64" s="77"/>
      <c r="L64" s="77">
        <f t="shared" si="11"/>
        <v>33500</v>
      </c>
      <c r="M64" s="136">
        <v>20635</v>
      </c>
      <c r="N64" s="77">
        <f t="shared" si="8"/>
        <v>12865</v>
      </c>
      <c r="O64" s="78">
        <f t="shared" si="12"/>
        <v>5.4239201544700917E-3</v>
      </c>
      <c r="P64" s="65"/>
      <c r="Q64" s="65"/>
    </row>
    <row r="65" spans="1:17" ht="17.100000000000001" customHeight="1" x14ac:dyDescent="0.2">
      <c r="A65" s="88" t="s">
        <v>157</v>
      </c>
      <c r="B65" s="72" t="s">
        <v>61</v>
      </c>
      <c r="C65" s="77">
        <v>24394.959999999995</v>
      </c>
      <c r="D65" s="77"/>
      <c r="E65" s="77">
        <v>3200</v>
      </c>
      <c r="F65" s="77">
        <v>12000</v>
      </c>
      <c r="G65" s="77"/>
      <c r="H65" s="77"/>
      <c r="I65" s="77"/>
      <c r="J65" s="77"/>
      <c r="K65" s="77"/>
      <c r="L65" s="77">
        <f t="shared" si="11"/>
        <v>33194.959999999992</v>
      </c>
      <c r="M65" s="136">
        <v>27322.1</v>
      </c>
      <c r="N65" s="77">
        <f t="shared" si="8"/>
        <v>5872.8599999999933</v>
      </c>
      <c r="O65" s="78">
        <f t="shared" si="12"/>
        <v>7.181627761204133E-3</v>
      </c>
      <c r="P65" s="65"/>
      <c r="Q65" s="65"/>
    </row>
    <row r="66" spans="1:17" ht="17.100000000000001" customHeight="1" x14ac:dyDescent="0.2">
      <c r="A66" s="88" t="s">
        <v>158</v>
      </c>
      <c r="B66" s="72" t="s">
        <v>62</v>
      </c>
      <c r="C66" s="77">
        <v>80000</v>
      </c>
      <c r="D66" s="77"/>
      <c r="E66" s="77"/>
      <c r="F66" s="77">
        <v>27500</v>
      </c>
      <c r="G66" s="77"/>
      <c r="H66" s="77"/>
      <c r="I66" s="77"/>
      <c r="J66" s="77"/>
      <c r="K66" s="77"/>
      <c r="L66" s="77">
        <f t="shared" si="11"/>
        <v>107500</v>
      </c>
      <c r="M66" s="136">
        <v>0</v>
      </c>
      <c r="N66" s="77">
        <f t="shared" si="8"/>
        <v>107500</v>
      </c>
      <c r="O66" s="78">
        <f t="shared" si="12"/>
        <v>0</v>
      </c>
      <c r="P66" s="65"/>
      <c r="Q66" s="65"/>
    </row>
    <row r="67" spans="1:17" ht="17.100000000000001" customHeight="1" x14ac:dyDescent="0.2">
      <c r="A67" s="88" t="s">
        <v>159</v>
      </c>
      <c r="B67" s="72" t="s">
        <v>238</v>
      </c>
      <c r="C67" s="77">
        <v>244000</v>
      </c>
      <c r="D67" s="77"/>
      <c r="E67" s="77">
        <v>12800</v>
      </c>
      <c r="F67" s="77">
        <v>18000</v>
      </c>
      <c r="G67" s="77"/>
      <c r="H67" s="77"/>
      <c r="I67" s="77"/>
      <c r="J67" s="77"/>
      <c r="K67" s="77"/>
      <c r="L67" s="77">
        <f t="shared" si="11"/>
        <v>249200</v>
      </c>
      <c r="M67" s="136">
        <v>160988.38</v>
      </c>
      <c r="N67" s="77">
        <f t="shared" si="8"/>
        <v>88211.62</v>
      </c>
      <c r="O67" s="78">
        <f t="shared" si="12"/>
        <v>4.2315876855705828E-2</v>
      </c>
      <c r="P67" s="65"/>
      <c r="Q67" s="65"/>
    </row>
    <row r="68" spans="1:17" ht="17.100000000000001" customHeight="1" x14ac:dyDescent="0.2">
      <c r="A68" s="88" t="s">
        <v>160</v>
      </c>
      <c r="B68" s="72" t="s">
        <v>64</v>
      </c>
      <c r="C68" s="77">
        <v>11250</v>
      </c>
      <c r="D68" s="77"/>
      <c r="E68" s="77"/>
      <c r="F68" s="77"/>
      <c r="G68" s="77"/>
      <c r="H68" s="77"/>
      <c r="I68" s="77"/>
      <c r="J68" s="77"/>
      <c r="K68" s="77"/>
      <c r="L68" s="77">
        <f t="shared" si="11"/>
        <v>11250</v>
      </c>
      <c r="M68" s="136">
        <v>6782</v>
      </c>
      <c r="N68" s="77">
        <f t="shared" si="8"/>
        <v>4468</v>
      </c>
      <c r="O68" s="78">
        <f t="shared" si="12"/>
        <v>1.7826521195840155E-3</v>
      </c>
      <c r="P68" s="65"/>
      <c r="Q68" s="65"/>
    </row>
    <row r="69" spans="1:17" ht="17.100000000000001" customHeight="1" x14ac:dyDescent="0.2">
      <c r="A69" s="88" t="s">
        <v>161</v>
      </c>
      <c r="B69" s="72" t="s">
        <v>239</v>
      </c>
      <c r="C69" s="77">
        <v>5000</v>
      </c>
      <c r="D69" s="77"/>
      <c r="E69" s="77"/>
      <c r="F69" s="77"/>
      <c r="G69" s="77"/>
      <c r="H69" s="77"/>
      <c r="I69" s="77"/>
      <c r="J69" s="77"/>
      <c r="K69" s="77"/>
      <c r="L69" s="77">
        <f t="shared" si="11"/>
        <v>5000</v>
      </c>
      <c r="M69" s="136">
        <v>1098.2</v>
      </c>
      <c r="N69" s="77">
        <f t="shared" si="8"/>
        <v>3901.8</v>
      </c>
      <c r="O69" s="78">
        <f t="shared" si="12"/>
        <v>2.8866242372857065E-4</v>
      </c>
      <c r="P69" s="65"/>
      <c r="Q69" s="65"/>
    </row>
    <row r="70" spans="1:17" ht="17.100000000000001" customHeight="1" x14ac:dyDescent="0.2">
      <c r="A70" s="88" t="s">
        <v>163</v>
      </c>
      <c r="B70" s="72" t="s">
        <v>164</v>
      </c>
      <c r="C70" s="77">
        <v>5000</v>
      </c>
      <c r="D70" s="77"/>
      <c r="E70" s="77"/>
      <c r="F70" s="77">
        <v>11500</v>
      </c>
      <c r="G70" s="77"/>
      <c r="H70" s="77">
        <v>25000</v>
      </c>
      <c r="I70" s="77"/>
      <c r="J70" s="77"/>
      <c r="K70" s="77"/>
      <c r="L70" s="77">
        <f t="shared" si="11"/>
        <v>41500</v>
      </c>
      <c r="M70" s="136">
        <v>36388.54</v>
      </c>
      <c r="N70" s="77">
        <f t="shared" si="8"/>
        <v>5111.4599999999991</v>
      </c>
      <c r="O70" s="78">
        <f t="shared" si="12"/>
        <v>9.5647460866363516E-3</v>
      </c>
      <c r="P70" s="65"/>
      <c r="Q70" s="65"/>
    </row>
    <row r="71" spans="1:17" ht="17.100000000000001" customHeight="1" x14ac:dyDescent="0.2">
      <c r="A71" s="88" t="s">
        <v>165</v>
      </c>
      <c r="B71" s="72" t="s">
        <v>65</v>
      </c>
      <c r="C71" s="77">
        <v>21150</v>
      </c>
      <c r="D71" s="77">
        <v>970</v>
      </c>
      <c r="E71" s="77"/>
      <c r="F71" s="77">
        <v>24500</v>
      </c>
      <c r="G71" s="77">
        <v>9500</v>
      </c>
      <c r="H71" s="77">
        <v>10000</v>
      </c>
      <c r="I71" s="77"/>
      <c r="J71" s="77">
        <v>1000</v>
      </c>
      <c r="K71" s="77"/>
      <c r="L71" s="77">
        <f t="shared" si="11"/>
        <v>47120</v>
      </c>
      <c r="M71" s="136">
        <v>21692.5</v>
      </c>
      <c r="N71" s="77">
        <f t="shared" si="8"/>
        <v>25427.5</v>
      </c>
      <c r="O71" s="78">
        <f t="shared" si="12"/>
        <v>5.7018845626771245E-3</v>
      </c>
      <c r="P71" s="65"/>
      <c r="Q71" s="65"/>
    </row>
    <row r="72" spans="1:17" ht="17.100000000000001" customHeight="1" x14ac:dyDescent="0.2">
      <c r="A72" s="88" t="s">
        <v>166</v>
      </c>
      <c r="B72" s="72" t="s">
        <v>167</v>
      </c>
      <c r="C72" s="77">
        <v>17000</v>
      </c>
      <c r="D72" s="77">
        <v>750</v>
      </c>
      <c r="E72" s="77"/>
      <c r="F72" s="77">
        <v>5000</v>
      </c>
      <c r="G72" s="77"/>
      <c r="H72" s="77">
        <v>7500</v>
      </c>
      <c r="I72" s="77"/>
      <c r="J72" s="77"/>
      <c r="K72" s="77"/>
      <c r="L72" s="77">
        <f t="shared" si="11"/>
        <v>30250</v>
      </c>
      <c r="M72" s="136">
        <v>4963.74</v>
      </c>
      <c r="N72" s="77">
        <f t="shared" si="8"/>
        <v>25286.260000000002</v>
      </c>
      <c r="O72" s="78">
        <f t="shared" si="12"/>
        <v>1.3047215617906164E-3</v>
      </c>
      <c r="P72" s="65"/>
      <c r="Q72" s="65"/>
    </row>
    <row r="73" spans="1:17" ht="17.100000000000001" customHeight="1" x14ac:dyDescent="0.2">
      <c r="A73" s="88"/>
      <c r="B73" s="72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36"/>
      <c r="N73" s="77"/>
      <c r="O73" s="78"/>
      <c r="P73" s="65"/>
      <c r="Q73" s="65"/>
    </row>
    <row r="74" spans="1:17" ht="17.100000000000001" customHeight="1" x14ac:dyDescent="0.25">
      <c r="A74" s="86">
        <v>2</v>
      </c>
      <c r="B74" s="87" t="s">
        <v>66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36"/>
      <c r="N74" s="77"/>
      <c r="O74" s="78"/>
      <c r="P74" s="65"/>
      <c r="Q74" s="65"/>
    </row>
    <row r="75" spans="1:17" ht="17.100000000000001" customHeight="1" x14ac:dyDescent="0.2">
      <c r="A75" s="88" t="s">
        <v>168</v>
      </c>
      <c r="B75" s="72" t="s">
        <v>67</v>
      </c>
      <c r="C75" s="77">
        <v>116357.64</v>
      </c>
      <c r="D75" s="77">
        <v>40914</v>
      </c>
      <c r="E75" s="77"/>
      <c r="F75" s="77">
        <v>8500</v>
      </c>
      <c r="G75" s="77"/>
      <c r="H75" s="77"/>
      <c r="I75" s="77"/>
      <c r="J75" s="77">
        <v>5500</v>
      </c>
      <c r="K75" s="77"/>
      <c r="L75" s="77">
        <f t="shared" si="11"/>
        <v>165771.64000000001</v>
      </c>
      <c r="M75" s="136">
        <v>49157.850000000006</v>
      </c>
      <c r="N75" s="77">
        <f t="shared" si="8"/>
        <v>116613.79000000001</v>
      </c>
      <c r="O75" s="78">
        <f t="shared" ref="O75:O104" si="13">M75/$M$123</f>
        <v>1.2921165658610014E-2</v>
      </c>
      <c r="P75" s="65"/>
      <c r="Q75" s="65"/>
    </row>
    <row r="76" spans="1:17" ht="17.100000000000001" customHeight="1" x14ac:dyDescent="0.2">
      <c r="A76" s="88" t="s">
        <v>254</v>
      </c>
      <c r="B76" s="72" t="s">
        <v>255</v>
      </c>
      <c r="C76" s="77">
        <v>0</v>
      </c>
      <c r="D76" s="77">
        <v>750</v>
      </c>
      <c r="E76" s="77"/>
      <c r="F76" s="77"/>
      <c r="G76" s="77"/>
      <c r="H76" s="77"/>
      <c r="I76" s="77"/>
      <c r="J76" s="77"/>
      <c r="K76" s="77"/>
      <c r="L76" s="77">
        <f t="shared" si="11"/>
        <v>750</v>
      </c>
      <c r="M76" s="136">
        <v>0</v>
      </c>
      <c r="N76" s="77">
        <f t="shared" si="8"/>
        <v>750</v>
      </c>
      <c r="O76" s="78">
        <f t="shared" si="13"/>
        <v>0</v>
      </c>
      <c r="P76" s="65"/>
      <c r="Q76" s="65"/>
    </row>
    <row r="77" spans="1:17" ht="17.100000000000001" customHeight="1" x14ac:dyDescent="0.2">
      <c r="A77" s="88" t="s">
        <v>170</v>
      </c>
      <c r="B77" s="72" t="s">
        <v>69</v>
      </c>
      <c r="C77" s="77">
        <v>2080</v>
      </c>
      <c r="D77" s="77">
        <v>4500</v>
      </c>
      <c r="E77" s="77"/>
      <c r="F77" s="77">
        <v>3000</v>
      </c>
      <c r="G77" s="77"/>
      <c r="H77" s="77"/>
      <c r="I77" s="77"/>
      <c r="J77" s="77"/>
      <c r="K77" s="77"/>
      <c r="L77" s="77">
        <f t="shared" si="11"/>
        <v>9580</v>
      </c>
      <c r="M77" s="136">
        <v>3335</v>
      </c>
      <c r="N77" s="77">
        <f t="shared" si="8"/>
        <v>6245</v>
      </c>
      <c r="O77" s="78">
        <f t="shared" si="13"/>
        <v>8.7660643155598522E-4</v>
      </c>
      <c r="P77" s="65"/>
      <c r="Q77" s="65"/>
    </row>
    <row r="78" spans="1:17" ht="17.100000000000001" customHeight="1" x14ac:dyDescent="0.2">
      <c r="A78" s="88" t="s">
        <v>171</v>
      </c>
      <c r="B78" s="72" t="s">
        <v>70</v>
      </c>
      <c r="C78" s="77">
        <v>62500</v>
      </c>
      <c r="D78" s="77">
        <v>6450</v>
      </c>
      <c r="E78" s="77"/>
      <c r="F78" s="77">
        <v>7500</v>
      </c>
      <c r="G78" s="77"/>
      <c r="H78" s="77"/>
      <c r="I78" s="77"/>
      <c r="J78" s="77">
        <v>2000</v>
      </c>
      <c r="K78" s="77"/>
      <c r="L78" s="77">
        <f t="shared" si="11"/>
        <v>76450</v>
      </c>
      <c r="M78" s="136">
        <v>22486</v>
      </c>
      <c r="N78" s="77">
        <f t="shared" si="8"/>
        <v>53964</v>
      </c>
      <c r="O78" s="78">
        <f t="shared" si="13"/>
        <v>5.9104564377714794E-3</v>
      </c>
      <c r="P78" s="65"/>
      <c r="Q78" s="65"/>
    </row>
    <row r="79" spans="1:17" ht="17.100000000000001" customHeight="1" x14ac:dyDescent="0.2">
      <c r="A79" s="88" t="s">
        <v>172</v>
      </c>
      <c r="B79" s="72" t="s">
        <v>71</v>
      </c>
      <c r="C79" s="77">
        <v>6000</v>
      </c>
      <c r="D79" s="77">
        <v>750</v>
      </c>
      <c r="E79" s="77"/>
      <c r="F79" s="77"/>
      <c r="G79" s="77"/>
      <c r="H79" s="77"/>
      <c r="I79" s="77"/>
      <c r="J79" s="77"/>
      <c r="K79" s="77"/>
      <c r="L79" s="77">
        <f t="shared" si="11"/>
        <v>6750</v>
      </c>
      <c r="M79" s="136">
        <v>2357.0500000000002</v>
      </c>
      <c r="N79" s="77">
        <f t="shared" si="8"/>
        <v>4392.95</v>
      </c>
      <c r="O79" s="78">
        <f t="shared" si="13"/>
        <v>6.1955178095923096E-4</v>
      </c>
      <c r="P79" s="65"/>
      <c r="Q79" s="65"/>
    </row>
    <row r="80" spans="1:17" ht="17.100000000000001" customHeight="1" x14ac:dyDescent="0.2">
      <c r="A80" s="88" t="s">
        <v>173</v>
      </c>
      <c r="B80" s="72" t="s">
        <v>72</v>
      </c>
      <c r="C80" s="77">
        <v>1100</v>
      </c>
      <c r="D80" s="77"/>
      <c r="E80" s="77"/>
      <c r="F80" s="77"/>
      <c r="G80" s="77"/>
      <c r="H80" s="77"/>
      <c r="I80" s="77"/>
      <c r="J80" s="77"/>
      <c r="K80" s="77"/>
      <c r="L80" s="77">
        <f t="shared" si="11"/>
        <v>1100</v>
      </c>
      <c r="M80" s="136">
        <v>1007.7</v>
      </c>
      <c r="N80" s="77">
        <f t="shared" si="8"/>
        <v>92.299999999999955</v>
      </c>
      <c r="O80" s="78">
        <f t="shared" si="13"/>
        <v>2.6487445309714136E-4</v>
      </c>
      <c r="P80" s="65"/>
      <c r="Q80" s="65"/>
    </row>
    <row r="81" spans="1:17" ht="17.100000000000001" customHeight="1" x14ac:dyDescent="0.2">
      <c r="A81" s="88" t="s">
        <v>174</v>
      </c>
      <c r="B81" s="72" t="s">
        <v>175</v>
      </c>
      <c r="C81" s="77">
        <v>2255</v>
      </c>
      <c r="D81" s="77"/>
      <c r="E81" s="77"/>
      <c r="F81" s="77"/>
      <c r="G81" s="77"/>
      <c r="H81" s="77"/>
      <c r="I81" s="77"/>
      <c r="J81" s="77"/>
      <c r="K81" s="77"/>
      <c r="L81" s="77">
        <f t="shared" si="11"/>
        <v>2255</v>
      </c>
      <c r="M81" s="136">
        <v>1604.4</v>
      </c>
      <c r="N81" s="77">
        <f t="shared" si="8"/>
        <v>650.59999999999991</v>
      </c>
      <c r="O81" s="78">
        <f t="shared" si="13"/>
        <v>4.2171734896204584E-4</v>
      </c>
      <c r="P81" s="65"/>
      <c r="Q81" s="65"/>
    </row>
    <row r="82" spans="1:17" ht="17.100000000000001" customHeight="1" x14ac:dyDescent="0.2">
      <c r="A82" s="88" t="s">
        <v>176</v>
      </c>
      <c r="B82" s="72" t="s">
        <v>177</v>
      </c>
      <c r="C82" s="77">
        <v>1300</v>
      </c>
      <c r="D82" s="77"/>
      <c r="E82" s="77"/>
      <c r="F82" s="77"/>
      <c r="G82" s="77"/>
      <c r="H82" s="77"/>
      <c r="I82" s="77"/>
      <c r="J82" s="77"/>
      <c r="K82" s="77"/>
      <c r="L82" s="77">
        <f t="shared" si="11"/>
        <v>1300</v>
      </c>
      <c r="M82" s="136">
        <v>21</v>
      </c>
      <c r="N82" s="77">
        <f t="shared" si="8"/>
        <v>1279</v>
      </c>
      <c r="O82" s="78">
        <f t="shared" si="13"/>
        <v>5.5198605885084528E-6</v>
      </c>
      <c r="P82" s="65"/>
      <c r="Q82" s="65"/>
    </row>
    <row r="83" spans="1:17" ht="17.100000000000001" customHeight="1" x14ac:dyDescent="0.2">
      <c r="A83" s="88" t="s">
        <v>178</v>
      </c>
      <c r="B83" s="72" t="s">
        <v>179</v>
      </c>
      <c r="C83" s="77">
        <v>7500</v>
      </c>
      <c r="D83" s="77"/>
      <c r="E83" s="77"/>
      <c r="F83" s="77"/>
      <c r="G83" s="77"/>
      <c r="H83" s="77"/>
      <c r="I83" s="77"/>
      <c r="J83" s="77"/>
      <c r="K83" s="77"/>
      <c r="L83" s="77">
        <f t="shared" si="11"/>
        <v>7500</v>
      </c>
      <c r="M83" s="136">
        <v>0</v>
      </c>
      <c r="N83" s="77">
        <f t="shared" si="8"/>
        <v>7500</v>
      </c>
      <c r="O83" s="78">
        <f t="shared" si="13"/>
        <v>0</v>
      </c>
      <c r="P83" s="65"/>
      <c r="Q83" s="65"/>
    </row>
    <row r="84" spans="1:17" ht="17.100000000000001" customHeight="1" x14ac:dyDescent="0.2">
      <c r="A84" s="88" t="s">
        <v>180</v>
      </c>
      <c r="B84" s="72" t="s">
        <v>73</v>
      </c>
      <c r="C84" s="77">
        <v>200</v>
      </c>
      <c r="D84" s="77">
        <v>1050</v>
      </c>
      <c r="E84" s="77"/>
      <c r="F84" s="77"/>
      <c r="G84" s="77"/>
      <c r="H84" s="77"/>
      <c r="I84" s="77"/>
      <c r="J84" s="77"/>
      <c r="K84" s="77"/>
      <c r="L84" s="77">
        <f t="shared" si="11"/>
        <v>1250</v>
      </c>
      <c r="M84" s="136">
        <v>330</v>
      </c>
      <c r="N84" s="77">
        <f t="shared" si="8"/>
        <v>920</v>
      </c>
      <c r="O84" s="78">
        <f t="shared" si="13"/>
        <v>8.6740666390847112E-5</v>
      </c>
      <c r="P84" s="65"/>
      <c r="Q84" s="65"/>
    </row>
    <row r="85" spans="1:17" ht="17.100000000000001" customHeight="1" x14ac:dyDescent="0.2">
      <c r="A85" s="88" t="s">
        <v>181</v>
      </c>
      <c r="B85" s="72" t="s">
        <v>74</v>
      </c>
      <c r="C85" s="77">
        <v>10920</v>
      </c>
      <c r="D85" s="77"/>
      <c r="E85" s="77">
        <v>2700</v>
      </c>
      <c r="F85" s="77"/>
      <c r="G85" s="77"/>
      <c r="H85" s="77"/>
      <c r="I85" s="77"/>
      <c r="J85" s="77"/>
      <c r="K85" s="77"/>
      <c r="L85" s="77">
        <f t="shared" si="11"/>
        <v>8220</v>
      </c>
      <c r="M85" s="136">
        <v>6608.78</v>
      </c>
      <c r="N85" s="77">
        <f t="shared" si="8"/>
        <v>1611.2200000000003</v>
      </c>
      <c r="O85" s="78">
        <f t="shared" si="13"/>
        <v>1.7371211552439471E-3</v>
      </c>
      <c r="P85" s="65"/>
      <c r="Q85" s="65"/>
    </row>
    <row r="86" spans="1:17" ht="17.100000000000001" customHeight="1" x14ac:dyDescent="0.2">
      <c r="A86" s="88" t="s">
        <v>182</v>
      </c>
      <c r="B86" s="72" t="s">
        <v>183</v>
      </c>
      <c r="C86" s="77">
        <v>1850</v>
      </c>
      <c r="D86" s="77"/>
      <c r="E86" s="77"/>
      <c r="F86" s="77"/>
      <c r="G86" s="77"/>
      <c r="H86" s="77">
        <v>3500</v>
      </c>
      <c r="I86" s="77"/>
      <c r="J86" s="77"/>
      <c r="K86" s="77"/>
      <c r="L86" s="77">
        <f t="shared" si="11"/>
        <v>5350</v>
      </c>
      <c r="M86" s="136">
        <v>2618.04</v>
      </c>
      <c r="N86" s="77">
        <f t="shared" si="8"/>
        <v>2731.96</v>
      </c>
      <c r="O86" s="78">
        <f t="shared" si="13"/>
        <v>6.8815313405422231E-4</v>
      </c>
      <c r="P86" s="65"/>
      <c r="Q86" s="65"/>
    </row>
    <row r="87" spans="1:17" ht="17.100000000000001" customHeight="1" x14ac:dyDescent="0.2">
      <c r="A87" s="88" t="s">
        <v>184</v>
      </c>
      <c r="B87" s="72" t="s">
        <v>75</v>
      </c>
      <c r="C87" s="77">
        <v>19000</v>
      </c>
      <c r="D87" s="77">
        <v>3250</v>
      </c>
      <c r="E87" s="77"/>
      <c r="F87" s="77">
        <v>8640</v>
      </c>
      <c r="G87" s="77"/>
      <c r="H87" s="77">
        <v>10500</v>
      </c>
      <c r="I87" s="77"/>
      <c r="J87" s="77"/>
      <c r="K87" s="77"/>
      <c r="L87" s="77">
        <f t="shared" si="11"/>
        <v>41390</v>
      </c>
      <c r="M87" s="136">
        <v>24959.94</v>
      </c>
      <c r="N87" s="77">
        <f t="shared" si="8"/>
        <v>16430.060000000001</v>
      </c>
      <c r="O87" s="78">
        <f t="shared" si="13"/>
        <v>6.5607328141683652E-3</v>
      </c>
      <c r="P87" s="65"/>
      <c r="Q87" s="65"/>
    </row>
    <row r="88" spans="1:17" ht="17.100000000000001" customHeight="1" x14ac:dyDescent="0.2">
      <c r="A88" s="88" t="s">
        <v>185</v>
      </c>
      <c r="B88" s="72" t="s">
        <v>186</v>
      </c>
      <c r="C88" s="77">
        <v>4793.1600000000008</v>
      </c>
      <c r="D88" s="77">
        <v>17750</v>
      </c>
      <c r="E88" s="77"/>
      <c r="F88" s="77">
        <v>985</v>
      </c>
      <c r="G88" s="77"/>
      <c r="H88" s="77"/>
      <c r="I88" s="77"/>
      <c r="J88" s="77"/>
      <c r="K88" s="77"/>
      <c r="L88" s="77">
        <f t="shared" si="11"/>
        <v>23528.16</v>
      </c>
      <c r="M88" s="136">
        <v>3339.5800000000004</v>
      </c>
      <c r="N88" s="77">
        <f t="shared" si="8"/>
        <v>20188.579999999998</v>
      </c>
      <c r="O88" s="78">
        <f t="shared" si="13"/>
        <v>8.778102868652886E-4</v>
      </c>
      <c r="P88" s="65"/>
      <c r="Q88" s="65"/>
    </row>
    <row r="89" spans="1:17" ht="17.100000000000001" customHeight="1" x14ac:dyDescent="0.2">
      <c r="A89" s="88" t="s">
        <v>187</v>
      </c>
      <c r="B89" s="72" t="s">
        <v>275</v>
      </c>
      <c r="C89" s="77">
        <v>1250</v>
      </c>
      <c r="D89" s="77"/>
      <c r="E89" s="77"/>
      <c r="F89" s="77">
        <v>650</v>
      </c>
      <c r="G89" s="77"/>
      <c r="H89" s="77"/>
      <c r="I89" s="77"/>
      <c r="J89" s="77"/>
      <c r="K89" s="77"/>
      <c r="L89" s="77">
        <f t="shared" si="11"/>
        <v>1900</v>
      </c>
      <c r="M89" s="136">
        <v>1511</v>
      </c>
      <c r="N89" s="77">
        <f t="shared" ref="N89:N121" si="14">L89-M89</f>
        <v>389</v>
      </c>
      <c r="O89" s="78">
        <f t="shared" si="13"/>
        <v>3.9716711186839392E-4</v>
      </c>
      <c r="P89" s="65"/>
      <c r="Q89" s="65"/>
    </row>
    <row r="90" spans="1:17" ht="17.100000000000001" customHeight="1" x14ac:dyDescent="0.2">
      <c r="A90" s="88" t="s">
        <v>189</v>
      </c>
      <c r="B90" s="72" t="s">
        <v>76</v>
      </c>
      <c r="C90" s="77">
        <v>165089.08000000002</v>
      </c>
      <c r="D90" s="77"/>
      <c r="E90" s="77">
        <v>2000</v>
      </c>
      <c r="F90" s="77"/>
      <c r="G90" s="77">
        <v>77463</v>
      </c>
      <c r="H90" s="77"/>
      <c r="I90" s="77"/>
      <c r="J90" s="77"/>
      <c r="K90" s="77"/>
      <c r="L90" s="77">
        <f t="shared" si="11"/>
        <v>85626.080000000016</v>
      </c>
      <c r="M90" s="136">
        <v>83271.08</v>
      </c>
      <c r="N90" s="77">
        <f t="shared" si="14"/>
        <v>2355.0000000000146</v>
      </c>
      <c r="O90" s="78">
        <f t="shared" si="13"/>
        <v>2.188784536450164E-2</v>
      </c>
      <c r="P90" s="65"/>
      <c r="Q90" s="65"/>
    </row>
    <row r="91" spans="1:17" ht="17.100000000000001" customHeight="1" x14ac:dyDescent="0.2">
      <c r="A91" s="88" t="s">
        <v>190</v>
      </c>
      <c r="B91" s="72" t="s">
        <v>77</v>
      </c>
      <c r="C91" s="77">
        <v>0</v>
      </c>
      <c r="D91" s="77"/>
      <c r="E91" s="77"/>
      <c r="F91" s="77"/>
      <c r="G91" s="77"/>
      <c r="H91" s="77"/>
      <c r="I91" s="77"/>
      <c r="J91" s="77"/>
      <c r="K91" s="77"/>
      <c r="L91" s="77">
        <f t="shared" si="11"/>
        <v>0</v>
      </c>
      <c r="M91" s="136">
        <v>0</v>
      </c>
      <c r="N91" s="77">
        <f t="shared" si="14"/>
        <v>0</v>
      </c>
      <c r="O91" s="78">
        <f t="shared" si="13"/>
        <v>0</v>
      </c>
      <c r="P91" s="65"/>
      <c r="Q91" s="65"/>
    </row>
    <row r="92" spans="1:17" ht="17.100000000000001" customHeight="1" x14ac:dyDescent="0.2">
      <c r="A92" s="88" t="s">
        <v>256</v>
      </c>
      <c r="B92" s="72" t="s">
        <v>257</v>
      </c>
      <c r="C92" s="77">
        <v>0</v>
      </c>
      <c r="D92" s="77">
        <v>1200</v>
      </c>
      <c r="E92" s="77"/>
      <c r="F92" s="77"/>
      <c r="G92" s="77"/>
      <c r="H92" s="77"/>
      <c r="I92" s="77"/>
      <c r="J92" s="77"/>
      <c r="K92" s="77"/>
      <c r="L92" s="77">
        <f t="shared" si="11"/>
        <v>1200</v>
      </c>
      <c r="M92" s="136">
        <v>75</v>
      </c>
      <c r="N92" s="77">
        <f t="shared" si="14"/>
        <v>1125</v>
      </c>
      <c r="O92" s="78">
        <f t="shared" si="13"/>
        <v>1.9713787816101617E-5</v>
      </c>
      <c r="P92" s="65"/>
      <c r="Q92" s="65"/>
    </row>
    <row r="93" spans="1:17" ht="17.100000000000001" customHeight="1" x14ac:dyDescent="0.2">
      <c r="A93" s="88" t="s">
        <v>258</v>
      </c>
      <c r="B93" s="72" t="s">
        <v>259</v>
      </c>
      <c r="C93" s="77">
        <v>0</v>
      </c>
      <c r="D93" s="77">
        <v>750</v>
      </c>
      <c r="E93" s="77"/>
      <c r="F93" s="77"/>
      <c r="G93" s="77"/>
      <c r="H93" s="77"/>
      <c r="I93" s="77"/>
      <c r="J93" s="77"/>
      <c r="K93" s="77"/>
      <c r="L93" s="77">
        <f t="shared" si="11"/>
        <v>750</v>
      </c>
      <c r="M93" s="136">
        <v>0</v>
      </c>
      <c r="N93" s="77">
        <f t="shared" si="14"/>
        <v>750</v>
      </c>
      <c r="O93" s="78">
        <f t="shared" si="13"/>
        <v>0</v>
      </c>
      <c r="P93" s="65"/>
      <c r="Q93" s="65"/>
    </row>
    <row r="94" spans="1:17" ht="17.100000000000001" customHeight="1" x14ac:dyDescent="0.2">
      <c r="A94" s="88" t="s">
        <v>191</v>
      </c>
      <c r="B94" s="72" t="s">
        <v>78</v>
      </c>
      <c r="C94" s="77">
        <v>1000</v>
      </c>
      <c r="D94" s="77"/>
      <c r="E94" s="77"/>
      <c r="F94" s="77"/>
      <c r="G94" s="77"/>
      <c r="H94" s="77">
        <v>1500</v>
      </c>
      <c r="I94" s="77"/>
      <c r="J94" s="77"/>
      <c r="K94" s="77"/>
      <c r="L94" s="77">
        <f t="shared" si="11"/>
        <v>2500</v>
      </c>
      <c r="M94" s="136">
        <v>1528</v>
      </c>
      <c r="N94" s="77">
        <f t="shared" si="14"/>
        <v>972</v>
      </c>
      <c r="O94" s="78">
        <f t="shared" si="13"/>
        <v>4.0163557044004363E-4</v>
      </c>
      <c r="P94" s="65"/>
      <c r="Q94" s="65"/>
    </row>
    <row r="95" spans="1:17" ht="17.100000000000001" customHeight="1" x14ac:dyDescent="0.2">
      <c r="A95" s="88" t="s">
        <v>192</v>
      </c>
      <c r="B95" s="72" t="s">
        <v>79</v>
      </c>
      <c r="C95" s="77">
        <v>7500</v>
      </c>
      <c r="D95" s="77"/>
      <c r="E95" s="77"/>
      <c r="F95" s="77">
        <v>2500</v>
      </c>
      <c r="G95" s="77"/>
      <c r="H95" s="77"/>
      <c r="I95" s="77"/>
      <c r="J95" s="77"/>
      <c r="K95" s="77"/>
      <c r="L95" s="77">
        <f t="shared" si="11"/>
        <v>10000</v>
      </c>
      <c r="M95" s="136">
        <v>0</v>
      </c>
      <c r="N95" s="77">
        <f t="shared" si="14"/>
        <v>10000</v>
      </c>
      <c r="O95" s="78">
        <f t="shared" si="13"/>
        <v>0</v>
      </c>
      <c r="P95" s="65"/>
      <c r="Q95" s="65"/>
    </row>
    <row r="96" spans="1:17" ht="17.100000000000001" customHeight="1" x14ac:dyDescent="0.2">
      <c r="A96" s="88" t="s">
        <v>193</v>
      </c>
      <c r="B96" s="72" t="s">
        <v>194</v>
      </c>
      <c r="C96" s="77">
        <v>1125749.23</v>
      </c>
      <c r="D96" s="77"/>
      <c r="E96" s="77">
        <v>8775</v>
      </c>
      <c r="F96" s="77"/>
      <c r="G96" s="77"/>
      <c r="H96" s="77"/>
      <c r="I96" s="77">
        <v>25000</v>
      </c>
      <c r="J96" s="77"/>
      <c r="K96" s="77">
        <v>178000</v>
      </c>
      <c r="L96" s="77">
        <f t="shared" si="11"/>
        <v>1091974.23</v>
      </c>
      <c r="M96" s="136">
        <v>774785.81</v>
      </c>
      <c r="N96" s="77">
        <f t="shared" si="14"/>
        <v>317188.41999999993</v>
      </c>
      <c r="O96" s="78">
        <f t="shared" si="13"/>
        <v>0.20365284081688564</v>
      </c>
      <c r="P96" s="65"/>
      <c r="Q96" s="65"/>
    </row>
    <row r="97" spans="1:17" ht="17.100000000000001" customHeight="1" x14ac:dyDescent="0.2">
      <c r="A97" s="88" t="s">
        <v>260</v>
      </c>
      <c r="B97" s="72" t="s">
        <v>261</v>
      </c>
      <c r="C97" s="77">
        <v>0</v>
      </c>
      <c r="D97" s="77">
        <v>1750</v>
      </c>
      <c r="E97" s="77"/>
      <c r="F97" s="77"/>
      <c r="G97" s="77"/>
      <c r="H97" s="77">
        <v>2000</v>
      </c>
      <c r="I97" s="77"/>
      <c r="J97" s="77"/>
      <c r="K97" s="77"/>
      <c r="L97" s="77">
        <f t="shared" si="11"/>
        <v>3750</v>
      </c>
      <c r="M97" s="136">
        <v>878.48</v>
      </c>
      <c r="N97" s="77">
        <f t="shared" si="14"/>
        <v>2871.52</v>
      </c>
      <c r="O97" s="78">
        <f t="shared" si="13"/>
        <v>2.3090891094251933E-4</v>
      </c>
      <c r="P97" s="65"/>
      <c r="Q97" s="65"/>
    </row>
    <row r="98" spans="1:17" ht="17.100000000000001" customHeight="1" x14ac:dyDescent="0.2">
      <c r="A98" s="88" t="s">
        <v>195</v>
      </c>
      <c r="B98" s="72" t="s">
        <v>80</v>
      </c>
      <c r="C98" s="77">
        <v>9940</v>
      </c>
      <c r="D98" s="77"/>
      <c r="E98" s="77">
        <v>625</v>
      </c>
      <c r="F98" s="77"/>
      <c r="G98" s="77"/>
      <c r="H98" s="77"/>
      <c r="I98" s="77"/>
      <c r="J98" s="77"/>
      <c r="K98" s="77"/>
      <c r="L98" s="77">
        <f t="shared" si="11"/>
        <v>9315</v>
      </c>
      <c r="M98" s="136">
        <v>4053.11</v>
      </c>
      <c r="N98" s="77">
        <f t="shared" si="14"/>
        <v>5261.8899999999994</v>
      </c>
      <c r="O98" s="78">
        <f t="shared" si="13"/>
        <v>1.065362007137595E-3</v>
      </c>
      <c r="P98" s="65"/>
      <c r="Q98" s="65"/>
    </row>
    <row r="99" spans="1:17" ht="17.100000000000001" customHeight="1" x14ac:dyDescent="0.2">
      <c r="A99" s="88" t="s">
        <v>196</v>
      </c>
      <c r="B99" s="72" t="s">
        <v>197</v>
      </c>
      <c r="C99" s="77">
        <v>2250</v>
      </c>
      <c r="D99" s="77"/>
      <c r="E99" s="77">
        <v>450</v>
      </c>
      <c r="F99" s="77"/>
      <c r="G99" s="77"/>
      <c r="H99" s="77"/>
      <c r="I99" s="77"/>
      <c r="J99" s="77"/>
      <c r="K99" s="77"/>
      <c r="L99" s="77">
        <f t="shared" si="11"/>
        <v>1800</v>
      </c>
      <c r="M99" s="136">
        <v>1085.8400000000001</v>
      </c>
      <c r="N99" s="77">
        <f t="shared" si="14"/>
        <v>714.15999999999985</v>
      </c>
      <c r="O99" s="78">
        <f t="shared" si="13"/>
        <v>2.8541359149647711E-4</v>
      </c>
      <c r="P99" s="65"/>
      <c r="Q99" s="65"/>
    </row>
    <row r="100" spans="1:17" ht="17.100000000000001" customHeight="1" x14ac:dyDescent="0.2">
      <c r="A100" s="88" t="s">
        <v>198</v>
      </c>
      <c r="B100" s="72" t="s">
        <v>81</v>
      </c>
      <c r="C100" s="77">
        <v>122483.72</v>
      </c>
      <c r="D100" s="77"/>
      <c r="E100" s="77">
        <v>31960</v>
      </c>
      <c r="F100" s="77">
        <v>3600</v>
      </c>
      <c r="G100" s="77"/>
      <c r="H100" s="77"/>
      <c r="I100" s="77"/>
      <c r="J100" s="77">
        <v>7000</v>
      </c>
      <c r="K100" s="77"/>
      <c r="L100" s="77">
        <f t="shared" si="11"/>
        <v>94123.72</v>
      </c>
      <c r="M100" s="136">
        <v>31030.55</v>
      </c>
      <c r="N100" s="77">
        <f t="shared" si="14"/>
        <v>63093.17</v>
      </c>
      <c r="O100" s="78">
        <f t="shared" si="13"/>
        <v>8.1563957135590941E-3</v>
      </c>
      <c r="P100" s="65"/>
      <c r="Q100" s="65"/>
    </row>
    <row r="101" spans="1:17" ht="17.100000000000001" customHeight="1" x14ac:dyDescent="0.2">
      <c r="A101" s="88" t="s">
        <v>199</v>
      </c>
      <c r="B101" s="72" t="s">
        <v>200</v>
      </c>
      <c r="C101" s="77">
        <v>650</v>
      </c>
      <c r="D101" s="77"/>
      <c r="E101" s="77">
        <v>150</v>
      </c>
      <c r="F101" s="77"/>
      <c r="G101" s="77"/>
      <c r="H101" s="77"/>
      <c r="I101" s="77"/>
      <c r="J101" s="77"/>
      <c r="K101" s="77"/>
      <c r="L101" s="77">
        <f t="shared" si="11"/>
        <v>500</v>
      </c>
      <c r="M101" s="136">
        <v>0</v>
      </c>
      <c r="N101" s="77">
        <f t="shared" si="14"/>
        <v>500</v>
      </c>
      <c r="O101" s="78">
        <f t="shared" si="13"/>
        <v>0</v>
      </c>
      <c r="P101" s="65"/>
      <c r="Q101" s="65"/>
    </row>
    <row r="102" spans="1:17" ht="17.100000000000001" customHeight="1" x14ac:dyDescent="0.2">
      <c r="A102" s="88" t="s">
        <v>201</v>
      </c>
      <c r="B102" s="72" t="s">
        <v>202</v>
      </c>
      <c r="C102" s="77">
        <v>6900</v>
      </c>
      <c r="D102" s="77"/>
      <c r="E102" s="77">
        <v>300</v>
      </c>
      <c r="F102" s="77">
        <v>5250</v>
      </c>
      <c r="G102" s="77"/>
      <c r="H102" s="77"/>
      <c r="I102" s="77"/>
      <c r="J102" s="77"/>
      <c r="K102" s="77"/>
      <c r="L102" s="77">
        <f t="shared" si="11"/>
        <v>11850</v>
      </c>
      <c r="M102" s="136">
        <v>1028.8499999999999</v>
      </c>
      <c r="N102" s="77">
        <f t="shared" si="14"/>
        <v>10821.15</v>
      </c>
      <c r="O102" s="78">
        <f t="shared" si="13"/>
        <v>2.7043374126128195E-4</v>
      </c>
      <c r="P102" s="65"/>
      <c r="Q102" s="65"/>
    </row>
    <row r="103" spans="1:17" ht="17.100000000000001" customHeight="1" x14ac:dyDescent="0.2">
      <c r="A103" s="88" t="s">
        <v>203</v>
      </c>
      <c r="B103" s="72" t="s">
        <v>82</v>
      </c>
      <c r="C103" s="77">
        <v>85470</v>
      </c>
      <c r="D103" s="77"/>
      <c r="E103" s="77">
        <v>5669</v>
      </c>
      <c r="F103" s="77">
        <v>15690</v>
      </c>
      <c r="G103" s="77"/>
      <c r="H103" s="77"/>
      <c r="I103" s="77"/>
      <c r="J103" s="77"/>
      <c r="K103" s="77"/>
      <c r="L103" s="77">
        <f t="shared" si="11"/>
        <v>95491</v>
      </c>
      <c r="M103" s="136">
        <v>56166.030000000006</v>
      </c>
      <c r="N103" s="77">
        <f t="shared" si="14"/>
        <v>39324.969999999994</v>
      </c>
      <c r="O103" s="78">
        <f t="shared" si="13"/>
        <v>1.4763269305237307E-2</v>
      </c>
      <c r="P103" s="65"/>
      <c r="Q103" s="65"/>
    </row>
    <row r="104" spans="1:17" ht="17.100000000000001" customHeight="1" x14ac:dyDescent="0.2">
      <c r="A104" s="88" t="s">
        <v>204</v>
      </c>
      <c r="B104" s="72" t="s">
        <v>83</v>
      </c>
      <c r="C104" s="77">
        <v>15600</v>
      </c>
      <c r="D104" s="77"/>
      <c r="E104" s="77">
        <v>3600</v>
      </c>
      <c r="F104" s="77"/>
      <c r="G104" s="77"/>
      <c r="H104" s="77"/>
      <c r="I104" s="77"/>
      <c r="J104" s="77"/>
      <c r="K104" s="77"/>
      <c r="L104" s="77">
        <f t="shared" si="11"/>
        <v>12000</v>
      </c>
      <c r="M104" s="136">
        <v>2501.4699999999998</v>
      </c>
      <c r="N104" s="77">
        <f t="shared" si="14"/>
        <v>9498.5300000000007</v>
      </c>
      <c r="O104" s="78">
        <f t="shared" si="13"/>
        <v>6.5751265077791611E-4</v>
      </c>
      <c r="P104" s="65"/>
      <c r="Q104" s="65"/>
    </row>
    <row r="105" spans="1:17" ht="17.100000000000001" customHeight="1" x14ac:dyDescent="0.2">
      <c r="A105" s="88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136"/>
      <c r="N105" s="77"/>
      <c r="O105" s="78"/>
      <c r="P105" s="65"/>
      <c r="Q105" s="65"/>
    </row>
    <row r="106" spans="1:17" ht="17.100000000000001" customHeight="1" x14ac:dyDescent="0.25">
      <c r="A106" s="86">
        <v>3</v>
      </c>
      <c r="B106" s="87" t="s">
        <v>84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136"/>
      <c r="N106" s="77"/>
      <c r="O106" s="78"/>
      <c r="P106" s="65"/>
      <c r="Q106" s="65"/>
    </row>
    <row r="107" spans="1:17" ht="17.100000000000001" customHeight="1" x14ac:dyDescent="0.2">
      <c r="A107" s="88" t="s">
        <v>205</v>
      </c>
      <c r="B107" s="72" t="s">
        <v>85</v>
      </c>
      <c r="C107" s="77">
        <v>162200</v>
      </c>
      <c r="D107" s="77"/>
      <c r="E107" s="77"/>
      <c r="F107" s="77"/>
      <c r="G107" s="77"/>
      <c r="H107" s="77"/>
      <c r="I107" s="77"/>
      <c r="J107" s="77"/>
      <c r="K107" s="77"/>
      <c r="L107" s="77">
        <f t="shared" ref="L107:L121" si="15">C107+D107-E107+F107-G107+H107-I107</f>
        <v>162200</v>
      </c>
      <c r="M107" s="136">
        <v>1750</v>
      </c>
      <c r="N107" s="77">
        <f t="shared" si="14"/>
        <v>160450</v>
      </c>
      <c r="O107" s="78">
        <f t="shared" ref="O107:O112" si="16">M107/$M$123</f>
        <v>4.5998838237570438E-4</v>
      </c>
      <c r="P107" s="65"/>
      <c r="Q107" s="65"/>
    </row>
    <row r="108" spans="1:17" ht="17.100000000000001" customHeight="1" x14ac:dyDescent="0.2">
      <c r="A108" s="88" t="s">
        <v>206</v>
      </c>
      <c r="B108" s="72" t="s">
        <v>207</v>
      </c>
      <c r="C108" s="77">
        <v>0</v>
      </c>
      <c r="D108" s="77"/>
      <c r="E108" s="77"/>
      <c r="F108" s="77"/>
      <c r="G108" s="77"/>
      <c r="H108" s="77"/>
      <c r="I108" s="77"/>
      <c r="J108" s="77"/>
      <c r="K108" s="77"/>
      <c r="L108" s="77">
        <f t="shared" si="15"/>
        <v>0</v>
      </c>
      <c r="M108" s="136">
        <v>0</v>
      </c>
      <c r="N108" s="77">
        <f t="shared" si="14"/>
        <v>0</v>
      </c>
      <c r="O108" s="78">
        <f t="shared" si="16"/>
        <v>0</v>
      </c>
      <c r="P108" s="65"/>
      <c r="Q108" s="65"/>
    </row>
    <row r="109" spans="1:17" ht="17.100000000000001" customHeight="1" x14ac:dyDescent="0.2">
      <c r="A109" s="88" t="s">
        <v>208</v>
      </c>
      <c r="B109" s="72" t="s">
        <v>209</v>
      </c>
      <c r="C109" s="77">
        <v>1856690.49</v>
      </c>
      <c r="D109" s="77"/>
      <c r="E109" s="77"/>
      <c r="F109" s="77"/>
      <c r="G109" s="77"/>
      <c r="H109" s="77"/>
      <c r="I109" s="77"/>
      <c r="J109" s="77"/>
      <c r="K109" s="77"/>
      <c r="L109" s="77">
        <f t="shared" si="15"/>
        <v>1856690.49</v>
      </c>
      <c r="M109" s="136">
        <v>106297.24</v>
      </c>
      <c r="N109" s="77">
        <f t="shared" si="14"/>
        <v>1750393.25</v>
      </c>
      <c r="O109" s="78">
        <f t="shared" si="16"/>
        <v>2.7940283130629729E-2</v>
      </c>
      <c r="P109" s="65"/>
      <c r="Q109" s="65"/>
    </row>
    <row r="110" spans="1:17" ht="17.100000000000001" customHeight="1" x14ac:dyDescent="0.2">
      <c r="A110" s="88" t="s">
        <v>210</v>
      </c>
      <c r="B110" s="72" t="s">
        <v>211</v>
      </c>
      <c r="C110" s="77">
        <v>200000</v>
      </c>
      <c r="D110" s="77"/>
      <c r="E110" s="77"/>
      <c r="F110" s="77"/>
      <c r="G110" s="77"/>
      <c r="H110" s="77"/>
      <c r="I110" s="77"/>
      <c r="J110" s="77"/>
      <c r="K110" s="77"/>
      <c r="L110" s="77">
        <f t="shared" si="15"/>
        <v>200000</v>
      </c>
      <c r="M110" s="136">
        <v>0</v>
      </c>
      <c r="N110" s="77">
        <f t="shared" si="14"/>
        <v>200000</v>
      </c>
      <c r="O110" s="78">
        <f t="shared" si="16"/>
        <v>0</v>
      </c>
      <c r="P110" s="65"/>
      <c r="Q110" s="65"/>
    </row>
    <row r="111" spans="1:17" ht="17.100000000000001" customHeight="1" x14ac:dyDescent="0.2">
      <c r="A111" s="88" t="s">
        <v>212</v>
      </c>
      <c r="B111" s="72" t="s">
        <v>213</v>
      </c>
      <c r="C111" s="77">
        <v>500</v>
      </c>
      <c r="D111" s="77"/>
      <c r="E111" s="77"/>
      <c r="F111" s="77">
        <v>1200</v>
      </c>
      <c r="G111" s="77"/>
      <c r="H111" s="77"/>
      <c r="I111" s="77"/>
      <c r="J111" s="77"/>
      <c r="K111" s="77"/>
      <c r="L111" s="77">
        <f t="shared" si="15"/>
        <v>1700</v>
      </c>
      <c r="M111" s="136">
        <v>1199.92</v>
      </c>
      <c r="N111" s="77">
        <f t="shared" si="14"/>
        <v>500.07999999999993</v>
      </c>
      <c r="O111" s="78">
        <f t="shared" si="16"/>
        <v>3.1539957701728872E-4</v>
      </c>
      <c r="P111" s="65"/>
      <c r="Q111" s="65"/>
    </row>
    <row r="112" spans="1:17" ht="17.100000000000001" customHeight="1" x14ac:dyDescent="0.2">
      <c r="A112" s="88" t="s">
        <v>214</v>
      </c>
      <c r="B112" s="72" t="s">
        <v>215</v>
      </c>
      <c r="C112" s="77">
        <v>17500</v>
      </c>
      <c r="D112" s="77"/>
      <c r="E112" s="77"/>
      <c r="F112" s="77"/>
      <c r="G112" s="77"/>
      <c r="H112" s="77"/>
      <c r="I112" s="77"/>
      <c r="J112" s="77"/>
      <c r="K112" s="77"/>
      <c r="L112" s="77">
        <f t="shared" si="15"/>
        <v>17500</v>
      </c>
      <c r="M112" s="136">
        <v>5640</v>
      </c>
      <c r="N112" s="77">
        <f t="shared" si="14"/>
        <v>11860</v>
      </c>
      <c r="O112" s="78">
        <f t="shared" si="16"/>
        <v>1.4824768437708415E-3</v>
      </c>
      <c r="P112" s="65"/>
      <c r="Q112" s="65"/>
    </row>
    <row r="113" spans="1:17" ht="17.100000000000001" customHeight="1" x14ac:dyDescent="0.2">
      <c r="A113" s="88" t="s">
        <v>216</v>
      </c>
      <c r="B113" s="72" t="s">
        <v>217</v>
      </c>
      <c r="C113" s="77">
        <v>20500</v>
      </c>
      <c r="D113" s="77"/>
      <c r="E113" s="77"/>
      <c r="F113" s="77"/>
      <c r="G113" s="77"/>
      <c r="H113" s="77"/>
      <c r="I113" s="77"/>
      <c r="J113" s="77"/>
      <c r="K113" s="77"/>
      <c r="L113" s="77">
        <f t="shared" si="15"/>
        <v>20500</v>
      </c>
      <c r="M113" s="136">
        <v>0</v>
      </c>
      <c r="N113" s="77">
        <f t="shared" si="14"/>
        <v>20500</v>
      </c>
      <c r="O113" s="78"/>
      <c r="P113" s="65"/>
      <c r="Q113" s="65"/>
    </row>
    <row r="114" spans="1:17" ht="17.100000000000001" customHeight="1" x14ac:dyDescent="0.2">
      <c r="A114" s="88" t="s">
        <v>218</v>
      </c>
      <c r="B114" s="72" t="s">
        <v>219</v>
      </c>
      <c r="C114" s="77">
        <v>2784974.71</v>
      </c>
      <c r="D114" s="77"/>
      <c r="E114" s="77"/>
      <c r="F114" s="77"/>
      <c r="G114" s="77"/>
      <c r="H114" s="77"/>
      <c r="I114" s="77"/>
      <c r="J114" s="77"/>
      <c r="K114" s="77"/>
      <c r="L114" s="77">
        <f t="shared" si="15"/>
        <v>2784974.71</v>
      </c>
      <c r="M114" s="136">
        <v>0</v>
      </c>
      <c r="N114" s="77">
        <f t="shared" si="14"/>
        <v>2784974.71</v>
      </c>
      <c r="O114" s="78"/>
      <c r="P114" s="65"/>
      <c r="Q114" s="65"/>
    </row>
    <row r="115" spans="1:17" ht="17.100000000000001" customHeight="1" x14ac:dyDescent="0.2">
      <c r="A115" s="88"/>
      <c r="B115" s="72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136"/>
      <c r="N115" s="77"/>
      <c r="O115" s="78"/>
      <c r="P115" s="65"/>
      <c r="Q115" s="65"/>
    </row>
    <row r="116" spans="1:17" ht="17.100000000000001" customHeight="1" x14ac:dyDescent="0.25">
      <c r="A116" s="86">
        <v>4</v>
      </c>
      <c r="B116" s="87" t="s">
        <v>86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136"/>
      <c r="N116" s="77"/>
      <c r="O116" s="78"/>
      <c r="P116" s="65"/>
      <c r="Q116" s="65"/>
    </row>
    <row r="117" spans="1:17" ht="17.100000000000001" customHeight="1" x14ac:dyDescent="0.2">
      <c r="A117" s="88" t="s">
        <v>220</v>
      </c>
      <c r="B117" s="72" t="s">
        <v>221</v>
      </c>
      <c r="C117" s="77">
        <v>20750</v>
      </c>
      <c r="D117" s="77"/>
      <c r="E117" s="77"/>
      <c r="F117" s="77"/>
      <c r="G117" s="77"/>
      <c r="H117" s="77"/>
      <c r="I117" s="77"/>
      <c r="J117" s="77">
        <v>20000</v>
      </c>
      <c r="K117" s="77"/>
      <c r="L117" s="77">
        <f t="shared" si="15"/>
        <v>20750</v>
      </c>
      <c r="M117" s="136">
        <v>15892.8</v>
      </c>
      <c r="N117" s="77">
        <f t="shared" si="14"/>
        <v>4857.2000000000007</v>
      </c>
      <c r="O117" s="78">
        <f>M117/$M$123</f>
        <v>4.1774304933831965E-3</v>
      </c>
      <c r="P117" s="65"/>
      <c r="Q117" s="65"/>
    </row>
    <row r="118" spans="1:17" ht="17.100000000000001" customHeight="1" x14ac:dyDescent="0.2">
      <c r="A118" s="88" t="s">
        <v>222</v>
      </c>
      <c r="B118" s="72" t="s">
        <v>223</v>
      </c>
      <c r="C118" s="77">
        <v>7600</v>
      </c>
      <c r="D118" s="77"/>
      <c r="E118" s="77"/>
      <c r="F118" s="77"/>
      <c r="G118" s="77"/>
      <c r="H118" s="77"/>
      <c r="I118" s="77"/>
      <c r="J118" s="77">
        <v>7500</v>
      </c>
      <c r="K118" s="77"/>
      <c r="L118" s="77">
        <f t="shared" si="15"/>
        <v>7600</v>
      </c>
      <c r="M118" s="136">
        <v>1324.4</v>
      </c>
      <c r="N118" s="77">
        <f t="shared" si="14"/>
        <v>6275.6</v>
      </c>
      <c r="O118" s="78">
        <f>M118/$M$123</f>
        <v>3.4811920778193313E-4</v>
      </c>
      <c r="P118" s="65"/>
      <c r="Q118" s="65"/>
    </row>
    <row r="119" spans="1:17" ht="17.100000000000001" customHeight="1" x14ac:dyDescent="0.2">
      <c r="A119" s="88" t="s">
        <v>224</v>
      </c>
      <c r="B119" s="72" t="s">
        <v>240</v>
      </c>
      <c r="C119" s="77">
        <v>9600</v>
      </c>
      <c r="D119" s="77"/>
      <c r="E119" s="77"/>
      <c r="F119" s="77">
        <v>46500</v>
      </c>
      <c r="G119" s="77"/>
      <c r="H119" s="77"/>
      <c r="I119" s="77"/>
      <c r="J119" s="77"/>
      <c r="K119" s="77"/>
      <c r="L119" s="77">
        <f t="shared" si="15"/>
        <v>56100</v>
      </c>
      <c r="M119" s="136">
        <v>54650</v>
      </c>
      <c r="N119" s="77">
        <f t="shared" si="14"/>
        <v>1450</v>
      </c>
      <c r="O119" s="78">
        <f>M119/$M$123</f>
        <v>1.4364780055332711E-2</v>
      </c>
      <c r="P119" s="65"/>
      <c r="Q119" s="65"/>
    </row>
    <row r="120" spans="1:17" ht="17.100000000000001" customHeight="1" x14ac:dyDescent="0.2">
      <c r="A120" s="88" t="s">
        <v>226</v>
      </c>
      <c r="B120" s="72" t="s">
        <v>227</v>
      </c>
      <c r="C120" s="77">
        <v>0</v>
      </c>
      <c r="D120" s="77">
        <v>20000</v>
      </c>
      <c r="E120" s="77"/>
      <c r="F120" s="77"/>
      <c r="G120" s="77">
        <v>20000</v>
      </c>
      <c r="H120" s="77"/>
      <c r="I120" s="77"/>
      <c r="J120" s="77"/>
      <c r="K120" s="77"/>
      <c r="L120" s="77">
        <f t="shared" si="15"/>
        <v>0</v>
      </c>
      <c r="M120" s="136">
        <v>31.5</v>
      </c>
      <c r="N120" s="77">
        <v>31.5</v>
      </c>
      <c r="O120" s="78">
        <f>M120/$M$123</f>
        <v>8.27979088276268E-6</v>
      </c>
      <c r="P120" s="65"/>
      <c r="Q120" s="65"/>
    </row>
    <row r="121" spans="1:17" s="65" customFormat="1" ht="17.100000000000001" customHeight="1" x14ac:dyDescent="0.2">
      <c r="A121" s="88" t="s">
        <v>228</v>
      </c>
      <c r="B121" s="72" t="s">
        <v>87</v>
      </c>
      <c r="C121" s="89">
        <v>11050</v>
      </c>
      <c r="D121" s="89"/>
      <c r="E121" s="89"/>
      <c r="F121" s="89"/>
      <c r="G121" s="89"/>
      <c r="H121" s="89"/>
      <c r="I121" s="89"/>
      <c r="J121" s="89"/>
      <c r="K121" s="89"/>
      <c r="L121" s="89">
        <f t="shared" si="15"/>
        <v>11050</v>
      </c>
      <c r="M121" s="140">
        <v>6370.87</v>
      </c>
      <c r="N121" s="89">
        <f t="shared" si="14"/>
        <v>4679.13</v>
      </c>
      <c r="O121" s="78">
        <f>M121/$M$123</f>
        <v>1.6745863917862307E-3</v>
      </c>
    </row>
    <row r="122" spans="1:17" s="65" customFormat="1" ht="17.100000000000001" customHeight="1" thickBot="1" x14ac:dyDescent="0.25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141"/>
      <c r="N122" s="92"/>
      <c r="O122" s="93"/>
    </row>
    <row r="123" spans="1:17" s="65" customFormat="1" ht="17.100000000000001" customHeight="1" thickBot="1" x14ac:dyDescent="0.3">
      <c r="A123" s="80"/>
      <c r="B123" s="80" t="s">
        <v>88</v>
      </c>
      <c r="C123" s="81">
        <f>SUM(C25:C122)</f>
        <v>10804273.189999999</v>
      </c>
      <c r="D123" s="81">
        <f t="shared" ref="D123:I123" si="17">SUM(D25:D122)</f>
        <v>191539.09</v>
      </c>
      <c r="E123" s="81">
        <f t="shared" si="17"/>
        <v>94829</v>
      </c>
      <c r="F123" s="81">
        <f t="shared" si="17"/>
        <v>361650</v>
      </c>
      <c r="G123" s="81">
        <f t="shared" si="17"/>
        <v>106963</v>
      </c>
      <c r="H123" s="81">
        <f t="shared" si="17"/>
        <v>265000</v>
      </c>
      <c r="I123" s="81">
        <f t="shared" si="17"/>
        <v>25000</v>
      </c>
      <c r="J123" s="81">
        <f t="shared" ref="J123:K123" si="18">SUM(J25:J122)</f>
        <v>178000</v>
      </c>
      <c r="K123" s="81">
        <f t="shared" si="18"/>
        <v>178000</v>
      </c>
      <c r="L123" s="81">
        <f>SUM(L25:L122)</f>
        <v>11395670.280000001</v>
      </c>
      <c r="M123" s="137">
        <f>SUM(M25:M122)</f>
        <v>3804443.91</v>
      </c>
      <c r="N123" s="81">
        <f>SUM(N25:N122)</f>
        <v>7591289.3700000001</v>
      </c>
      <c r="O123" s="94">
        <v>1</v>
      </c>
    </row>
    <row r="124" spans="1:17" s="65" customFormat="1" ht="15" x14ac:dyDescent="0.2">
      <c r="C124" s="95"/>
      <c r="D124" s="96"/>
      <c r="E124" s="97"/>
      <c r="F124" s="97"/>
      <c r="G124" s="97"/>
      <c r="H124" s="97"/>
      <c r="I124" s="97"/>
      <c r="J124" s="97"/>
      <c r="K124" s="97"/>
      <c r="L124" s="95"/>
      <c r="M124" s="142"/>
      <c r="N124" s="97"/>
    </row>
    <row r="125" spans="1:17" s="65" customFormat="1" ht="15.75" thickBot="1" x14ac:dyDescent="0.25">
      <c r="C125" s="97"/>
      <c r="D125" s="97"/>
      <c r="E125" s="97"/>
      <c r="F125" s="97"/>
      <c r="G125" s="97"/>
      <c r="H125" s="97"/>
      <c r="I125" s="97"/>
      <c r="J125" s="97"/>
      <c r="K125" s="97"/>
      <c r="L125" s="99"/>
      <c r="M125" s="143"/>
      <c r="N125" s="97"/>
    </row>
    <row r="126" spans="1:17" s="65" customFormat="1" ht="15.75" x14ac:dyDescent="0.25">
      <c r="A126" s="100" t="s">
        <v>89</v>
      </c>
      <c r="B126" s="101"/>
      <c r="C126" s="102"/>
      <c r="D126" s="97"/>
      <c r="E126" s="97"/>
      <c r="F126" s="97"/>
      <c r="G126" s="97"/>
      <c r="H126" s="97"/>
      <c r="I126" s="97"/>
      <c r="J126" s="97"/>
      <c r="K126" s="97"/>
      <c r="L126" s="97"/>
      <c r="M126" s="143"/>
      <c r="N126" s="97"/>
    </row>
    <row r="127" spans="1:17" s="65" customFormat="1" ht="15.75" x14ac:dyDescent="0.25">
      <c r="A127" s="103" t="s">
        <v>3</v>
      </c>
      <c r="B127" s="104"/>
      <c r="C127" s="105"/>
      <c r="D127" s="97"/>
      <c r="E127" s="97"/>
      <c r="F127" s="97"/>
      <c r="G127" s="97"/>
      <c r="H127" s="97"/>
      <c r="I127" s="97"/>
      <c r="J127" s="97"/>
      <c r="K127" s="97"/>
      <c r="L127" s="97"/>
      <c r="M127" s="144"/>
      <c r="N127" s="97"/>
    </row>
    <row r="128" spans="1:17" s="65" customFormat="1" ht="8.1" customHeight="1" thickBot="1" x14ac:dyDescent="0.25">
      <c r="A128" s="106"/>
      <c r="B128" s="107"/>
      <c r="C128" s="108"/>
      <c r="D128" s="97"/>
      <c r="E128" s="97"/>
      <c r="F128" s="97"/>
      <c r="G128" s="97"/>
      <c r="H128" s="97"/>
      <c r="I128" s="97"/>
      <c r="J128" s="97"/>
      <c r="K128" s="97"/>
      <c r="L128" s="97"/>
      <c r="M128" s="144"/>
      <c r="N128" s="97"/>
    </row>
    <row r="129" spans="1:14" s="65" customFormat="1" ht="8.1" customHeight="1" x14ac:dyDescent="0.2">
      <c r="A129" s="109"/>
      <c r="B129" s="110"/>
      <c r="C129" s="111"/>
      <c r="D129" s="97"/>
      <c r="E129" s="97"/>
      <c r="F129" s="97"/>
      <c r="G129" s="97"/>
      <c r="H129" s="97"/>
      <c r="I129" s="97"/>
      <c r="J129" s="97"/>
      <c r="K129" s="97"/>
      <c r="L129" s="97"/>
      <c r="M129" s="144"/>
      <c r="N129" s="97"/>
    </row>
    <row r="130" spans="1:14" s="65" customFormat="1" ht="15.95" customHeight="1" x14ac:dyDescent="0.2">
      <c r="A130" s="112" t="s">
        <v>90</v>
      </c>
      <c r="B130" s="113"/>
      <c r="C130" s="114"/>
      <c r="D130" s="97"/>
      <c r="E130" s="97"/>
      <c r="F130" s="97"/>
      <c r="G130" s="97"/>
      <c r="H130" s="97"/>
      <c r="I130" s="97"/>
      <c r="J130" s="97"/>
      <c r="K130" s="97"/>
      <c r="L130" s="97"/>
      <c r="M130" s="144"/>
      <c r="N130" s="97"/>
    </row>
    <row r="131" spans="1:14" s="65" customFormat="1" ht="15.95" customHeight="1" x14ac:dyDescent="0.2">
      <c r="A131" s="115" t="s">
        <v>229</v>
      </c>
      <c r="B131" s="113"/>
      <c r="C131" s="61">
        <f>198363.1+404138.05-4196.85</f>
        <v>598304.30000000005</v>
      </c>
      <c r="D131" s="97"/>
      <c r="E131" s="97"/>
      <c r="F131" s="97"/>
      <c r="G131" s="97"/>
      <c r="H131" s="97"/>
      <c r="I131" s="97"/>
      <c r="J131" s="97"/>
      <c r="K131" s="97"/>
      <c r="L131" s="97"/>
      <c r="M131" s="144"/>
      <c r="N131" s="97"/>
    </row>
    <row r="132" spans="1:14" s="65" customFormat="1" ht="15.95" customHeight="1" x14ac:dyDescent="0.2">
      <c r="A132" s="115" t="s">
        <v>91</v>
      </c>
      <c r="B132" s="113"/>
      <c r="C132" s="61">
        <f>+M20</f>
        <v>3911996.87</v>
      </c>
      <c r="D132" s="97"/>
      <c r="E132" s="97"/>
      <c r="F132" s="97"/>
      <c r="G132" s="97"/>
      <c r="H132" s="97"/>
      <c r="I132" s="97"/>
      <c r="J132" s="97"/>
      <c r="K132" s="97"/>
      <c r="L132" s="97"/>
      <c r="M132" s="144"/>
      <c r="N132" s="97"/>
    </row>
    <row r="133" spans="1:14" s="65" customFormat="1" ht="15.95" customHeight="1" x14ac:dyDescent="0.2">
      <c r="A133" s="115" t="s">
        <v>92</v>
      </c>
      <c r="B133" s="113"/>
      <c r="C133" s="116">
        <f>-M123</f>
        <v>-3804443.91</v>
      </c>
      <c r="D133" s="97"/>
      <c r="E133" s="97"/>
      <c r="F133" s="97"/>
      <c r="G133" s="97"/>
      <c r="H133" s="97"/>
      <c r="I133" s="97"/>
      <c r="J133" s="97"/>
      <c r="K133" s="97"/>
      <c r="L133" s="97"/>
      <c r="M133" s="144"/>
      <c r="N133" s="97"/>
    </row>
    <row r="134" spans="1:14" s="65" customFormat="1" ht="15.95" customHeight="1" x14ac:dyDescent="0.25">
      <c r="A134" s="117" t="s">
        <v>93</v>
      </c>
      <c r="B134" s="118"/>
      <c r="C134" s="119">
        <f>SUM(C131:C133)</f>
        <v>705857.25999999978</v>
      </c>
      <c r="D134" s="97"/>
      <c r="E134" s="97"/>
      <c r="F134" s="97"/>
      <c r="G134" s="97"/>
      <c r="H134" s="97"/>
      <c r="I134" s="97"/>
      <c r="J134" s="97"/>
      <c r="K134" s="97"/>
      <c r="L134" s="97"/>
      <c r="M134" s="144"/>
      <c r="N134" s="97"/>
    </row>
    <row r="135" spans="1:14" s="65" customFormat="1" ht="8.1" customHeight="1" x14ac:dyDescent="0.25">
      <c r="A135" s="117"/>
      <c r="B135" s="118"/>
      <c r="C135" s="119"/>
      <c r="D135" s="97"/>
      <c r="E135" s="97"/>
      <c r="F135" s="97"/>
      <c r="G135" s="97"/>
      <c r="H135" s="97"/>
      <c r="I135" s="97"/>
      <c r="J135" s="97"/>
      <c r="K135" s="97"/>
      <c r="L135" s="97"/>
      <c r="M135" s="144"/>
      <c r="N135" s="97"/>
    </row>
    <row r="136" spans="1:14" s="65" customFormat="1" ht="15.95" customHeight="1" x14ac:dyDescent="0.2">
      <c r="A136" s="112" t="s">
        <v>94</v>
      </c>
      <c r="B136" s="113"/>
      <c r="C136" s="61"/>
      <c r="D136" s="97"/>
      <c r="E136" s="97"/>
      <c r="F136" s="97"/>
      <c r="G136" s="97"/>
      <c r="H136" s="97"/>
      <c r="I136" s="97"/>
      <c r="J136" s="97"/>
      <c r="K136" s="97"/>
      <c r="L136" s="97"/>
      <c r="M136" s="144"/>
      <c r="N136" s="97"/>
    </row>
    <row r="137" spans="1:14" s="65" customFormat="1" ht="15.95" customHeight="1" x14ac:dyDescent="0.2">
      <c r="A137" s="115" t="s">
        <v>95</v>
      </c>
      <c r="B137" s="113"/>
      <c r="C137" s="61">
        <v>3298.38</v>
      </c>
      <c r="D137" s="97"/>
      <c r="E137" s="97"/>
      <c r="F137" s="97"/>
      <c r="G137" s="97"/>
      <c r="H137" s="97"/>
      <c r="I137" s="97"/>
      <c r="J137" s="97"/>
      <c r="K137" s="97"/>
      <c r="L137" s="97"/>
      <c r="M137" s="144"/>
      <c r="N137" s="97"/>
    </row>
    <row r="138" spans="1:14" s="65" customFormat="1" ht="15.95" customHeight="1" x14ac:dyDescent="0.2">
      <c r="A138" s="115" t="s">
        <v>280</v>
      </c>
      <c r="B138" s="113"/>
      <c r="C138" s="61">
        <v>219.61</v>
      </c>
      <c r="D138" s="97"/>
      <c r="E138" s="97"/>
      <c r="F138" s="97"/>
      <c r="G138" s="97"/>
      <c r="H138" s="97"/>
      <c r="I138" s="97"/>
      <c r="J138" s="97"/>
      <c r="K138" s="97"/>
      <c r="L138" s="97"/>
      <c r="M138" s="144"/>
      <c r="N138" s="97"/>
    </row>
    <row r="139" spans="1:14" s="65" customFormat="1" ht="15.95" customHeight="1" x14ac:dyDescent="0.2">
      <c r="A139" s="115" t="s">
        <v>97</v>
      </c>
      <c r="B139" s="113"/>
      <c r="C139" s="61">
        <v>18354.330000000002</v>
      </c>
      <c r="D139" s="97"/>
      <c r="E139" s="97"/>
      <c r="F139" s="97"/>
      <c r="G139" s="97"/>
      <c r="H139" s="97"/>
      <c r="I139" s="97"/>
      <c r="J139" s="97"/>
      <c r="K139" s="97"/>
      <c r="L139" s="97"/>
      <c r="M139" s="144"/>
      <c r="N139" s="97"/>
    </row>
    <row r="140" spans="1:14" s="65" customFormat="1" ht="15.95" customHeight="1" x14ac:dyDescent="0.2">
      <c r="A140" s="115"/>
      <c r="B140" s="113"/>
      <c r="C140" s="61"/>
      <c r="D140" s="97"/>
      <c r="E140" s="97"/>
      <c r="F140" s="97"/>
      <c r="G140" s="97"/>
      <c r="H140" s="97"/>
      <c r="I140" s="97"/>
      <c r="J140" s="97"/>
      <c r="K140" s="97"/>
      <c r="L140" s="97"/>
      <c r="M140" s="144"/>
      <c r="N140" s="97"/>
    </row>
    <row r="141" spans="1:14" s="65" customFormat="1" ht="5.0999999999999996" customHeight="1" x14ac:dyDescent="0.2">
      <c r="A141" s="115"/>
      <c r="B141" s="113"/>
      <c r="C141" s="116"/>
      <c r="D141" s="97"/>
      <c r="E141" s="97"/>
      <c r="F141" s="97"/>
      <c r="G141" s="97"/>
      <c r="H141" s="97"/>
      <c r="I141" s="97"/>
      <c r="J141" s="97"/>
      <c r="K141" s="97"/>
      <c r="L141" s="97"/>
      <c r="M141" s="144"/>
      <c r="N141" s="97"/>
    </row>
    <row r="142" spans="1:14" s="65" customFormat="1" ht="15.75" x14ac:dyDescent="0.25">
      <c r="A142" s="117"/>
      <c r="B142" s="118"/>
      <c r="C142" s="119">
        <f>SUM(C137:C141)</f>
        <v>21872.320000000003</v>
      </c>
      <c r="D142" s="97"/>
      <c r="E142" s="97"/>
      <c r="F142" s="97"/>
      <c r="G142" s="97"/>
      <c r="H142" s="97"/>
      <c r="I142" s="97"/>
      <c r="J142" s="97"/>
      <c r="K142" s="97"/>
      <c r="L142" s="97"/>
      <c r="M142" s="144"/>
      <c r="N142" s="97"/>
    </row>
    <row r="143" spans="1:14" s="65" customFormat="1" ht="5.0999999999999996" customHeight="1" x14ac:dyDescent="0.25">
      <c r="A143" s="117"/>
      <c r="B143" s="118"/>
      <c r="C143" s="120"/>
      <c r="D143" s="97"/>
      <c r="E143" s="97"/>
      <c r="F143" s="97"/>
      <c r="G143" s="97"/>
      <c r="H143" s="97"/>
      <c r="I143" s="97"/>
      <c r="J143" s="97"/>
      <c r="K143" s="97"/>
      <c r="L143" s="97"/>
      <c r="M143" s="144"/>
      <c r="N143" s="97"/>
    </row>
    <row r="144" spans="1:14" s="65" customFormat="1" ht="8.1" customHeight="1" x14ac:dyDescent="0.25">
      <c r="A144" s="117"/>
      <c r="B144" s="118"/>
      <c r="C144" s="119"/>
      <c r="D144" s="97"/>
      <c r="E144" s="97"/>
      <c r="F144" s="97"/>
      <c r="G144" s="97"/>
      <c r="H144" s="97"/>
      <c r="I144" s="97"/>
      <c r="J144" s="97"/>
      <c r="K144" s="97"/>
      <c r="L144" s="97"/>
      <c r="M144" s="144"/>
      <c r="N144" s="97"/>
    </row>
    <row r="145" spans="1:14" s="65" customFormat="1" ht="16.5" thickBot="1" x14ac:dyDescent="0.3">
      <c r="A145" s="121" t="s">
        <v>293</v>
      </c>
      <c r="B145" s="122"/>
      <c r="C145" s="123">
        <f>C134+C142</f>
        <v>727729.57999999973</v>
      </c>
      <c r="D145" s="97"/>
      <c r="E145" s="97"/>
      <c r="F145" s="97"/>
      <c r="G145" s="97"/>
      <c r="H145" s="97"/>
      <c r="I145" s="97"/>
      <c r="J145" s="97"/>
      <c r="K145" s="97"/>
      <c r="L145" s="97"/>
      <c r="M145" s="144"/>
      <c r="N145" s="97"/>
    </row>
    <row r="146" spans="1:14" s="65" customFormat="1" ht="15" x14ac:dyDescent="0.2">
      <c r="A146" s="65" t="s">
        <v>277</v>
      </c>
      <c r="C146" s="99">
        <f>727729.58-C145</f>
        <v>0</v>
      </c>
      <c r="D146" s="97"/>
      <c r="E146" s="97"/>
      <c r="F146" s="97"/>
      <c r="G146" s="97"/>
      <c r="H146" s="97"/>
      <c r="I146" s="97"/>
      <c r="J146" s="97"/>
      <c r="K146" s="97"/>
      <c r="L146" s="97"/>
      <c r="M146" s="144"/>
      <c r="N146" s="97"/>
    </row>
    <row r="147" spans="1:14" s="65" customFormat="1" ht="15" x14ac:dyDescent="0.2">
      <c r="C147" s="97"/>
      <c r="M147" s="133"/>
    </row>
    <row r="148" spans="1:14" s="65" customFormat="1" ht="15" x14ac:dyDescent="0.2">
      <c r="B148" s="65" t="s">
        <v>292</v>
      </c>
      <c r="M148" s="133"/>
    </row>
    <row r="149" spans="1:14" s="65" customFormat="1" ht="15" x14ac:dyDescent="0.2">
      <c r="M149" s="133"/>
    </row>
    <row r="150" spans="1:14" s="65" customFormat="1" ht="15" x14ac:dyDescent="0.2">
      <c r="M150" s="133"/>
    </row>
    <row r="151" spans="1:14" s="65" customFormat="1" ht="15" x14ac:dyDescent="0.2">
      <c r="M151" s="133"/>
    </row>
    <row r="152" spans="1:14" s="65" customFormat="1" ht="15" x14ac:dyDescent="0.2">
      <c r="M152" s="133"/>
    </row>
    <row r="153" spans="1:14" s="65" customFormat="1" ht="15" x14ac:dyDescent="0.2">
      <c r="M153" s="133"/>
    </row>
    <row r="154" spans="1:14" s="65" customFormat="1" ht="15" x14ac:dyDescent="0.2">
      <c r="M154" s="133"/>
    </row>
    <row r="155" spans="1:14" s="65" customFormat="1" ht="15" x14ac:dyDescent="0.2">
      <c r="M155" s="133"/>
    </row>
    <row r="156" spans="1:14" s="65" customFormat="1" ht="15" x14ac:dyDescent="0.2">
      <c r="B156" s="65" t="s">
        <v>98</v>
      </c>
      <c r="F156" s="65" t="s">
        <v>99</v>
      </c>
      <c r="I156" s="124"/>
      <c r="J156" s="65" t="s">
        <v>291</v>
      </c>
      <c r="K156" s="124"/>
      <c r="M156" s="133"/>
    </row>
    <row r="157" spans="1:14" s="65" customFormat="1" ht="15" x14ac:dyDescent="0.2">
      <c r="B157" s="65" t="s">
        <v>100</v>
      </c>
      <c r="F157" s="65" t="s">
        <v>101</v>
      </c>
      <c r="I157" s="124"/>
      <c r="J157" s="65" t="s">
        <v>105</v>
      </c>
      <c r="K157" s="124"/>
      <c r="M157" s="133"/>
    </row>
    <row r="165" spans="7:7" x14ac:dyDescent="0.2">
      <c r="G165" s="130"/>
    </row>
  </sheetData>
  <mergeCells count="2">
    <mergeCell ref="B6:B7"/>
    <mergeCell ref="M6:M7"/>
  </mergeCells>
  <printOptions horizontalCentered="1"/>
  <pageMargins left="0.19685039370078741" right="0.19685039370078741" top="0.78740157480314965" bottom="0.59055118110236227" header="0.39370078740157483" footer="0.39370078740157483"/>
  <pageSetup scale="55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showGridLines="0" topLeftCell="A121" zoomScale="85" zoomScaleNormal="85" workbookViewId="0">
      <selection activeCell="C145" sqref="C145"/>
    </sheetView>
  </sheetViews>
  <sheetFormatPr baseColWidth="10" defaultRowHeight="14.25" x14ac:dyDescent="0.2"/>
  <cols>
    <col min="1" max="1" width="11.7109375" style="66" customWidth="1"/>
    <col min="2" max="2" width="48.7109375" style="66" customWidth="1"/>
    <col min="3" max="3" width="16.28515625" style="66" customWidth="1"/>
    <col min="4" max="4" width="13.42578125" style="66" customWidth="1"/>
    <col min="5" max="5" width="14.5703125" style="66" customWidth="1"/>
    <col min="6" max="6" width="13" style="66" customWidth="1"/>
    <col min="7" max="7" width="14.5703125" style="66" customWidth="1"/>
    <col min="8" max="8" width="12.85546875" style="66" customWidth="1"/>
    <col min="9" max="9" width="14.140625" style="66" customWidth="1"/>
    <col min="10" max="10" width="13.5703125" style="66" customWidth="1"/>
    <col min="11" max="11" width="13.85546875" style="66" customWidth="1"/>
    <col min="12" max="12" width="16.28515625" style="66" customWidth="1"/>
    <col min="13" max="13" width="15.7109375" style="145" customWidth="1"/>
    <col min="14" max="14" width="16.28515625" style="66" customWidth="1"/>
    <col min="15" max="15" width="10.7109375" style="66" customWidth="1"/>
    <col min="16" max="16" width="20.42578125" style="66" customWidth="1"/>
    <col min="17" max="17" width="18.7109375" style="66" customWidth="1"/>
    <col min="18" max="16384" width="11.42578125" style="66"/>
  </cols>
  <sheetData>
    <row r="1" spans="1:17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32"/>
      <c r="N1" s="64"/>
      <c r="O1" s="64"/>
      <c r="P1" s="65"/>
      <c r="Q1" s="65"/>
    </row>
    <row r="2" spans="1:17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32"/>
      <c r="N2" s="64"/>
      <c r="O2" s="64"/>
      <c r="P2" s="65"/>
      <c r="Q2" s="65"/>
    </row>
    <row r="3" spans="1:17" ht="15.75" x14ac:dyDescent="0.25">
      <c r="A3" s="64" t="s">
        <v>296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32"/>
      <c r="N3" s="64"/>
      <c r="O3" s="64"/>
      <c r="P3" s="65"/>
      <c r="Q3" s="65"/>
    </row>
    <row r="4" spans="1:17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32"/>
      <c r="N4" s="64"/>
      <c r="O4" s="64"/>
      <c r="P4" s="65"/>
      <c r="Q4" s="65"/>
    </row>
    <row r="5" spans="1:17" ht="15.7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33"/>
      <c r="N5" s="65"/>
      <c r="O5" s="65"/>
      <c r="P5" s="65"/>
      <c r="Q5" s="65"/>
    </row>
    <row r="6" spans="1:17" ht="16.5" thickBot="1" x14ac:dyDescent="0.3">
      <c r="A6" s="67" t="s">
        <v>102</v>
      </c>
      <c r="B6" s="181" t="s">
        <v>5</v>
      </c>
      <c r="C6" s="68" t="s">
        <v>6</v>
      </c>
      <c r="D6" s="69" t="s">
        <v>7</v>
      </c>
      <c r="E6" s="69"/>
      <c r="F6" s="69" t="s">
        <v>8</v>
      </c>
      <c r="G6" s="69"/>
      <c r="H6" s="69" t="s">
        <v>9</v>
      </c>
      <c r="I6" s="69"/>
      <c r="J6" s="69" t="s">
        <v>295</v>
      </c>
      <c r="K6" s="69"/>
      <c r="L6" s="67" t="s">
        <v>6</v>
      </c>
      <c r="M6" s="185" t="s">
        <v>10</v>
      </c>
      <c r="N6" s="67" t="s">
        <v>11</v>
      </c>
      <c r="O6" s="68" t="s">
        <v>12</v>
      </c>
      <c r="P6" s="65"/>
      <c r="Q6" s="65"/>
    </row>
    <row r="7" spans="1:17" ht="16.5" thickBot="1" x14ac:dyDescent="0.3">
      <c r="A7" s="70" t="s">
        <v>103</v>
      </c>
      <c r="B7" s="182"/>
      <c r="C7" s="70" t="s">
        <v>13</v>
      </c>
      <c r="D7" s="70" t="s">
        <v>14</v>
      </c>
      <c r="E7" s="70" t="s">
        <v>15</v>
      </c>
      <c r="F7" s="70" t="s">
        <v>14</v>
      </c>
      <c r="G7" s="70" t="s">
        <v>15</v>
      </c>
      <c r="H7" s="70" t="s">
        <v>14</v>
      </c>
      <c r="I7" s="70" t="s">
        <v>15</v>
      </c>
      <c r="J7" s="70" t="s">
        <v>14</v>
      </c>
      <c r="K7" s="70" t="s">
        <v>15</v>
      </c>
      <c r="L7" s="70" t="s">
        <v>16</v>
      </c>
      <c r="M7" s="186"/>
      <c r="N7" s="70" t="s">
        <v>17</v>
      </c>
      <c r="O7" s="71" t="s">
        <v>18</v>
      </c>
      <c r="P7" s="65"/>
      <c r="Q7" s="65"/>
    </row>
    <row r="8" spans="1:17" s="113" customFormat="1" ht="8.1" customHeight="1" x14ac:dyDescent="0.2">
      <c r="A8" s="91"/>
      <c r="B8" s="9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34"/>
      <c r="N8" s="125"/>
      <c r="O8" s="91"/>
    </row>
    <row r="9" spans="1:17" s="113" customFormat="1" ht="17.100000000000001" customHeight="1" x14ac:dyDescent="0.25">
      <c r="A9" s="73"/>
      <c r="B9" s="74" t="s">
        <v>19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135"/>
      <c r="N9" s="75"/>
      <c r="O9" s="73"/>
    </row>
    <row r="10" spans="1:17" s="65" customFormat="1" ht="17.100000000000001" customHeight="1" x14ac:dyDescent="0.25">
      <c r="A10" s="72"/>
      <c r="B10" s="76" t="s">
        <v>20</v>
      </c>
      <c r="C10" s="77">
        <f>198363.1+404138.05</f>
        <v>602501.15</v>
      </c>
      <c r="D10" s="77"/>
      <c r="E10" s="77">
        <v>4196.8500000000004</v>
      </c>
      <c r="F10" s="77"/>
      <c r="G10" s="77"/>
      <c r="H10" s="77"/>
      <c r="I10" s="77"/>
      <c r="J10" s="77"/>
      <c r="K10" s="77"/>
      <c r="L10" s="77">
        <f t="shared" ref="L10:L19" si="0">C10+D10-E10+F10-G10+H10-I10+J10-K10</f>
        <v>598304.30000000005</v>
      </c>
      <c r="M10" s="136">
        <v>0</v>
      </c>
      <c r="N10" s="77">
        <f>L10-M10</f>
        <v>598304.30000000005</v>
      </c>
      <c r="O10" s="78">
        <f>M10/$M$20</f>
        <v>0</v>
      </c>
    </row>
    <row r="11" spans="1:17" s="65" customFormat="1" ht="17.100000000000001" customHeight="1" x14ac:dyDescent="0.2">
      <c r="A11" s="72" t="s">
        <v>241</v>
      </c>
      <c r="B11" s="72" t="s">
        <v>265</v>
      </c>
      <c r="C11" s="77">
        <v>15000</v>
      </c>
      <c r="D11" s="77">
        <v>13000</v>
      </c>
      <c r="E11" s="77"/>
      <c r="F11" s="77">
        <v>12500</v>
      </c>
      <c r="G11" s="77"/>
      <c r="H11" s="77"/>
      <c r="I11" s="77"/>
      <c r="J11" s="77"/>
      <c r="K11" s="77"/>
      <c r="L11" s="77">
        <f t="shared" si="0"/>
        <v>40500</v>
      </c>
      <c r="M11" s="136">
        <v>31832</v>
      </c>
      <c r="N11" s="77">
        <f>L11-M11</f>
        <v>8668</v>
      </c>
      <c r="O11" s="78">
        <f>M11/$M$20</f>
        <v>7.2502007471077663E-3</v>
      </c>
    </row>
    <row r="12" spans="1:17" s="65" customFormat="1" ht="17.100000000000001" customHeight="1" x14ac:dyDescent="0.2">
      <c r="A12" s="72" t="s">
        <v>242</v>
      </c>
      <c r="B12" s="72" t="s">
        <v>266</v>
      </c>
      <c r="C12" s="77">
        <v>65000</v>
      </c>
      <c r="D12" s="77"/>
      <c r="E12" s="77"/>
      <c r="F12" s="77"/>
      <c r="G12" s="77"/>
      <c r="H12" s="77"/>
      <c r="I12" s="77"/>
      <c r="J12" s="77"/>
      <c r="K12" s="77"/>
      <c r="L12" s="77">
        <f t="shared" si="0"/>
        <v>65000</v>
      </c>
      <c r="M12" s="136">
        <v>61468.88</v>
      </c>
      <c r="N12" s="77">
        <f t="shared" ref="N12:N14" si="1">L12-M12</f>
        <v>3531.1200000000026</v>
      </c>
      <c r="O12" s="78">
        <f t="shared" ref="O12:O19" si="2">M12/$M$20</f>
        <v>1.4000431003388969E-2</v>
      </c>
    </row>
    <row r="13" spans="1:17" s="65" customFormat="1" ht="17.100000000000001" customHeight="1" x14ac:dyDescent="0.2">
      <c r="A13" s="79" t="s">
        <v>243</v>
      </c>
      <c r="B13" s="72" t="s">
        <v>267</v>
      </c>
      <c r="C13" s="77">
        <v>3500</v>
      </c>
      <c r="D13" s="77"/>
      <c r="E13" s="77"/>
      <c r="F13" s="77"/>
      <c r="G13" s="77"/>
      <c r="H13" s="77"/>
      <c r="I13" s="77"/>
      <c r="J13" s="77"/>
      <c r="K13" s="77"/>
      <c r="L13" s="77">
        <f t="shared" si="0"/>
        <v>3500</v>
      </c>
      <c r="M13" s="136">
        <v>0</v>
      </c>
      <c r="N13" s="77">
        <f t="shared" si="1"/>
        <v>3500</v>
      </c>
      <c r="O13" s="78">
        <f t="shared" si="2"/>
        <v>0</v>
      </c>
    </row>
    <row r="14" spans="1:17" s="65" customFormat="1" ht="17.100000000000001" customHeight="1" x14ac:dyDescent="0.2">
      <c r="A14" s="79">
        <v>15.1</v>
      </c>
      <c r="B14" s="72" t="s">
        <v>247</v>
      </c>
      <c r="C14" s="77">
        <v>3000</v>
      </c>
      <c r="D14" s="77"/>
      <c r="E14" s="77"/>
      <c r="F14" s="77"/>
      <c r="G14" s="77"/>
      <c r="H14" s="77"/>
      <c r="I14" s="77"/>
      <c r="J14" s="77"/>
      <c r="K14" s="77"/>
      <c r="L14" s="77">
        <f t="shared" si="0"/>
        <v>3000</v>
      </c>
      <c r="M14" s="136">
        <v>790.47</v>
      </c>
      <c r="N14" s="77">
        <f t="shared" si="1"/>
        <v>2209.5299999999997</v>
      </c>
      <c r="O14" s="78">
        <f t="shared" si="2"/>
        <v>1.8004103369459275E-4</v>
      </c>
    </row>
    <row r="15" spans="1:17" s="65" customFormat="1" ht="17.100000000000001" customHeight="1" x14ac:dyDescent="0.2">
      <c r="A15" s="72" t="s">
        <v>24</v>
      </c>
      <c r="B15" s="72" t="s">
        <v>25</v>
      </c>
      <c r="C15" s="77">
        <v>2745062.93</v>
      </c>
      <c r="D15" s="77">
        <v>95966.17</v>
      </c>
      <c r="E15" s="77"/>
      <c r="F15" s="77"/>
      <c r="G15" s="77"/>
      <c r="H15" s="77"/>
      <c r="I15" s="77"/>
      <c r="J15" s="77"/>
      <c r="K15" s="77"/>
      <c r="L15" s="77">
        <f t="shared" si="0"/>
        <v>2841029.1</v>
      </c>
      <c r="M15" s="136">
        <v>2026265.6000000001</v>
      </c>
      <c r="N15" s="77">
        <f>L15-M15</f>
        <v>814763.5</v>
      </c>
      <c r="O15" s="78">
        <f t="shared" si="2"/>
        <v>0.46151144656191151</v>
      </c>
    </row>
    <row r="16" spans="1:17" s="65" customFormat="1" ht="17.100000000000001" customHeight="1" x14ac:dyDescent="0.2">
      <c r="A16" s="72" t="s">
        <v>26</v>
      </c>
      <c r="B16" s="72" t="s">
        <v>27</v>
      </c>
      <c r="C16" s="77">
        <v>4934974.71</v>
      </c>
      <c r="D16" s="77"/>
      <c r="E16" s="77"/>
      <c r="F16" s="77"/>
      <c r="G16" s="77"/>
      <c r="H16" s="77"/>
      <c r="I16" s="77"/>
      <c r="J16" s="77"/>
      <c r="K16" s="77"/>
      <c r="L16" s="77">
        <f t="shared" si="0"/>
        <v>4934974.71</v>
      </c>
      <c r="M16" s="136">
        <v>260706.83</v>
      </c>
      <c r="N16" s="77">
        <f t="shared" ref="N16:N19" si="3">L16-M16</f>
        <v>4674267.88</v>
      </c>
      <c r="O16" s="78">
        <f t="shared" si="2"/>
        <v>5.9379770471289818E-2</v>
      </c>
    </row>
    <row r="17" spans="1:15" s="65" customFormat="1" ht="17.100000000000001" customHeight="1" x14ac:dyDescent="0.2">
      <c r="A17" s="72" t="s">
        <v>28</v>
      </c>
      <c r="B17" s="72" t="s">
        <v>29</v>
      </c>
      <c r="C17" s="77">
        <v>1290000</v>
      </c>
      <c r="D17" s="77"/>
      <c r="E17" s="77">
        <v>8059.23</v>
      </c>
      <c r="F17" s="77">
        <v>242187</v>
      </c>
      <c r="G17" s="77"/>
      <c r="H17" s="77">
        <v>240000</v>
      </c>
      <c r="I17" s="77"/>
      <c r="J17" s="77"/>
      <c r="K17" s="77"/>
      <c r="L17" s="77">
        <f t="shared" si="0"/>
        <v>1764127.77</v>
      </c>
      <c r="M17" s="136">
        <v>1234649.53</v>
      </c>
      <c r="N17" s="77">
        <f t="shared" si="3"/>
        <v>529478.24</v>
      </c>
      <c r="O17" s="78">
        <f t="shared" si="2"/>
        <v>0.28120937876420748</v>
      </c>
    </row>
    <row r="18" spans="1:15" s="65" customFormat="1" ht="17.100000000000001" customHeight="1" x14ac:dyDescent="0.2">
      <c r="A18" s="72" t="s">
        <v>30</v>
      </c>
      <c r="B18" s="72" t="s">
        <v>31</v>
      </c>
      <c r="C18" s="77">
        <v>20000</v>
      </c>
      <c r="D18" s="77"/>
      <c r="E18" s="77"/>
      <c r="F18" s="77"/>
      <c r="G18" s="77"/>
      <c r="H18" s="77"/>
      <c r="I18" s="77"/>
      <c r="J18" s="77"/>
      <c r="K18" s="77"/>
      <c r="L18" s="77">
        <f t="shared" si="0"/>
        <v>20000</v>
      </c>
      <c r="M18" s="136">
        <v>0</v>
      </c>
      <c r="N18" s="77">
        <f t="shared" si="3"/>
        <v>20000</v>
      </c>
      <c r="O18" s="78">
        <f t="shared" si="2"/>
        <v>0</v>
      </c>
    </row>
    <row r="19" spans="1:15" s="65" customFormat="1" ht="17.100000000000001" customHeight="1" thickBot="1" x14ac:dyDescent="0.25">
      <c r="A19" s="72"/>
      <c r="B19" s="72" t="s">
        <v>32</v>
      </c>
      <c r="C19" s="77">
        <f>850000+14137.2+261097.2</f>
        <v>1125234.3999999999</v>
      </c>
      <c r="D19" s="77"/>
      <c r="E19" s="77"/>
      <c r="F19" s="77"/>
      <c r="G19" s="77"/>
      <c r="H19" s="77"/>
      <c r="I19" s="77"/>
      <c r="J19" s="77"/>
      <c r="K19" s="77"/>
      <c r="L19" s="77">
        <f t="shared" si="0"/>
        <v>1125234.3999999999</v>
      </c>
      <c r="M19" s="136">
        <v>774785.81</v>
      </c>
      <c r="N19" s="77">
        <f t="shared" si="3"/>
        <v>350448.58999999985</v>
      </c>
      <c r="O19" s="78">
        <f t="shared" si="2"/>
        <v>0.17646873141839961</v>
      </c>
    </row>
    <row r="20" spans="1:15" s="65" customFormat="1" ht="17.100000000000001" customHeight="1" thickBot="1" x14ac:dyDescent="0.3">
      <c r="A20" s="80"/>
      <c r="B20" s="80" t="s">
        <v>33</v>
      </c>
      <c r="C20" s="81">
        <f>SUM(C10:C19)</f>
        <v>10804273.189999999</v>
      </c>
      <c r="D20" s="81">
        <f t="shared" ref="D20:E20" si="4">SUM(D10:D19)</f>
        <v>108966.17</v>
      </c>
      <c r="E20" s="81">
        <f t="shared" si="4"/>
        <v>12256.08</v>
      </c>
      <c r="F20" s="81">
        <f t="shared" ref="F20:K20" si="5">SUM(F11:F18)</f>
        <v>254687</v>
      </c>
      <c r="G20" s="81">
        <f t="shared" si="5"/>
        <v>0</v>
      </c>
      <c r="H20" s="81">
        <f t="shared" si="5"/>
        <v>240000</v>
      </c>
      <c r="I20" s="81">
        <f t="shared" si="5"/>
        <v>0</v>
      </c>
      <c r="J20" s="81">
        <f t="shared" si="5"/>
        <v>0</v>
      </c>
      <c r="K20" s="81">
        <f t="shared" si="5"/>
        <v>0</v>
      </c>
      <c r="L20" s="81">
        <f>SUM(L10:L19)</f>
        <v>11395670.279999999</v>
      </c>
      <c r="M20" s="137">
        <f>SUM(M10:M19)</f>
        <v>4390499.120000001</v>
      </c>
      <c r="N20" s="81">
        <f>SUM(N10:N19)</f>
        <v>7005171.1600000001</v>
      </c>
      <c r="O20" s="82">
        <v>0</v>
      </c>
    </row>
    <row r="21" spans="1:15" s="113" customFormat="1" ht="8.1" customHeight="1" x14ac:dyDescent="0.2">
      <c r="A21" s="126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38"/>
      <c r="N21" s="127"/>
      <c r="O21" s="128"/>
    </row>
    <row r="22" spans="1:15" s="113" customFormat="1" ht="17.100000000000001" customHeight="1" x14ac:dyDescent="0.25">
      <c r="A22" s="129" t="s">
        <v>4</v>
      </c>
      <c r="B22" s="74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139"/>
      <c r="N22" s="83"/>
      <c r="O22" s="84"/>
    </row>
    <row r="23" spans="1:15" s="65" customFormat="1" ht="17.100000000000001" customHeight="1" x14ac:dyDescent="0.25">
      <c r="A23" s="76"/>
      <c r="B23" s="8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36"/>
      <c r="N23" s="77"/>
      <c r="O23" s="78"/>
    </row>
    <row r="24" spans="1:15" s="65" customFormat="1" ht="17.100000000000001" customHeight="1" x14ac:dyDescent="0.25">
      <c r="A24" s="86">
        <v>0</v>
      </c>
      <c r="B24" s="87" t="s">
        <v>35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36"/>
      <c r="N24" s="77"/>
      <c r="O24" s="78"/>
    </row>
    <row r="25" spans="1:15" s="65" customFormat="1" ht="17.100000000000001" customHeight="1" x14ac:dyDescent="0.2">
      <c r="A25" s="88" t="s">
        <v>36</v>
      </c>
      <c r="B25" s="72" t="s">
        <v>106</v>
      </c>
      <c r="C25" s="77">
        <v>773194.52</v>
      </c>
      <c r="D25" s="77"/>
      <c r="E25" s="77"/>
      <c r="F25" s="77"/>
      <c r="G25" s="77"/>
      <c r="H25" s="77"/>
      <c r="I25" s="77"/>
      <c r="J25" s="77"/>
      <c r="K25" s="77"/>
      <c r="L25" s="77">
        <f t="shared" ref="L25:L36" si="6">C25+D25-E25+F25-G25+H25-I25+J25-K25</f>
        <v>773194.52</v>
      </c>
      <c r="M25" s="136">
        <v>537587.12999999989</v>
      </c>
      <c r="N25" s="77">
        <f t="shared" ref="N25:N88" si="7">L25-M25</f>
        <v>235607.39000000013</v>
      </c>
      <c r="O25" s="78">
        <f t="shared" ref="O25:O36" si="8">M25/$M$123</f>
        <v>0.12674592805519533</v>
      </c>
    </row>
    <row r="26" spans="1:15" s="65" customFormat="1" ht="17.100000000000001" customHeight="1" x14ac:dyDescent="0.2">
      <c r="A26" s="88" t="s">
        <v>37</v>
      </c>
      <c r="B26" s="72" t="s">
        <v>107</v>
      </c>
      <c r="C26" s="77">
        <v>4500</v>
      </c>
      <c r="D26" s="77"/>
      <c r="E26" s="77"/>
      <c r="F26" s="77"/>
      <c r="G26" s="77"/>
      <c r="H26" s="77"/>
      <c r="I26" s="77"/>
      <c r="J26" s="77"/>
      <c r="K26" s="77"/>
      <c r="L26" s="77">
        <f t="shared" si="6"/>
        <v>4500</v>
      </c>
      <c r="M26" s="136">
        <v>3375</v>
      </c>
      <c r="N26" s="77">
        <f t="shared" si="7"/>
        <v>1125</v>
      </c>
      <c r="O26" s="78">
        <f t="shared" si="8"/>
        <v>7.9571753733443046E-4</v>
      </c>
    </row>
    <row r="27" spans="1:15" s="65" customFormat="1" ht="17.100000000000001" customHeight="1" x14ac:dyDescent="0.2">
      <c r="A27" s="88" t="s">
        <v>38</v>
      </c>
      <c r="B27" s="72" t="s">
        <v>108</v>
      </c>
      <c r="C27" s="77">
        <v>140850</v>
      </c>
      <c r="D27" s="77"/>
      <c r="E27" s="77"/>
      <c r="F27" s="77"/>
      <c r="G27" s="77"/>
      <c r="H27" s="77">
        <v>20000</v>
      </c>
      <c r="I27" s="77"/>
      <c r="J27" s="77"/>
      <c r="K27" s="77"/>
      <c r="L27" s="77">
        <f t="shared" si="6"/>
        <v>160850</v>
      </c>
      <c r="M27" s="136">
        <v>90957.63</v>
      </c>
      <c r="N27" s="77">
        <f t="shared" si="7"/>
        <v>69892.37</v>
      </c>
      <c r="O27" s="78">
        <f t="shared" si="8"/>
        <v>2.1444912991222611E-2</v>
      </c>
    </row>
    <row r="28" spans="1:15" s="65" customFormat="1" ht="17.100000000000001" customHeight="1" x14ac:dyDescent="0.2">
      <c r="A28" s="131" t="s">
        <v>281</v>
      </c>
      <c r="B28" s="72" t="s">
        <v>282</v>
      </c>
      <c r="C28" s="77">
        <v>0</v>
      </c>
      <c r="D28" s="77"/>
      <c r="E28" s="77"/>
      <c r="F28" s="77">
        <v>79750</v>
      </c>
      <c r="G28" s="77"/>
      <c r="H28" s="77"/>
      <c r="I28" s="77"/>
      <c r="J28" s="77"/>
      <c r="K28" s="77"/>
      <c r="L28" s="77">
        <f t="shared" si="6"/>
        <v>79750</v>
      </c>
      <c r="M28" s="136">
        <v>11580.65</v>
      </c>
      <c r="N28" s="77">
        <f t="shared" si="7"/>
        <v>68169.350000000006</v>
      </c>
      <c r="O28" s="78">
        <f t="shared" si="8"/>
        <v>2.7303485329576212E-3</v>
      </c>
    </row>
    <row r="29" spans="1:15" s="65" customFormat="1" ht="17.100000000000001" customHeight="1" x14ac:dyDescent="0.2">
      <c r="A29" s="88" t="s">
        <v>40</v>
      </c>
      <c r="B29" s="72" t="s">
        <v>283</v>
      </c>
      <c r="C29" s="77">
        <v>0</v>
      </c>
      <c r="D29" s="77"/>
      <c r="E29" s="77"/>
      <c r="F29" s="77">
        <v>3250</v>
      </c>
      <c r="G29" s="77"/>
      <c r="H29" s="77"/>
      <c r="I29" s="77"/>
      <c r="J29" s="77"/>
      <c r="K29" s="77"/>
      <c r="L29" s="77">
        <f t="shared" si="6"/>
        <v>3250</v>
      </c>
      <c r="M29" s="136">
        <v>798.39</v>
      </c>
      <c r="N29" s="77">
        <f t="shared" si="7"/>
        <v>2451.61</v>
      </c>
      <c r="O29" s="78">
        <f t="shared" si="8"/>
        <v>1.8823494063183288E-4</v>
      </c>
    </row>
    <row r="30" spans="1:15" s="65" customFormat="1" ht="17.100000000000001" customHeight="1" x14ac:dyDescent="0.2">
      <c r="A30" s="88" t="s">
        <v>41</v>
      </c>
      <c r="B30" s="72" t="s">
        <v>110</v>
      </c>
      <c r="C30" s="77">
        <v>15400</v>
      </c>
      <c r="D30" s="77"/>
      <c r="E30" s="77"/>
      <c r="F30" s="77"/>
      <c r="G30" s="77"/>
      <c r="H30" s="77"/>
      <c r="I30" s="77"/>
      <c r="J30" s="77"/>
      <c r="K30" s="77"/>
      <c r="L30" s="77">
        <f t="shared" si="6"/>
        <v>15400</v>
      </c>
      <c r="M30" s="136">
        <v>13852.64</v>
      </c>
      <c r="N30" s="77">
        <f t="shared" si="7"/>
        <v>1547.3600000000006</v>
      </c>
      <c r="O30" s="78">
        <f t="shared" si="8"/>
        <v>3.2660114330016073E-3</v>
      </c>
    </row>
    <row r="31" spans="1:15" s="65" customFormat="1" ht="17.100000000000001" customHeight="1" x14ac:dyDescent="0.2">
      <c r="A31" s="88" t="s">
        <v>42</v>
      </c>
      <c r="B31" s="72" t="s">
        <v>111</v>
      </c>
      <c r="C31" s="77">
        <v>42629.35</v>
      </c>
      <c r="D31" s="77"/>
      <c r="E31" s="77"/>
      <c r="F31" s="77"/>
      <c r="G31" s="77"/>
      <c r="H31" s="77">
        <v>25000</v>
      </c>
      <c r="I31" s="77"/>
      <c r="J31" s="77"/>
      <c r="K31" s="77"/>
      <c r="L31" s="77">
        <f t="shared" si="6"/>
        <v>67629.350000000006</v>
      </c>
      <c r="M31" s="136">
        <v>38788.58</v>
      </c>
      <c r="N31" s="77">
        <f t="shared" si="7"/>
        <v>28840.770000000004</v>
      </c>
      <c r="O31" s="78">
        <f t="shared" si="8"/>
        <v>9.1451121049776433E-3</v>
      </c>
    </row>
    <row r="32" spans="1:15" s="65" customFormat="1" ht="17.100000000000001" customHeight="1" x14ac:dyDescent="0.2">
      <c r="A32" s="88" t="s">
        <v>43</v>
      </c>
      <c r="B32" s="72" t="s">
        <v>234</v>
      </c>
      <c r="C32" s="77">
        <v>89741</v>
      </c>
      <c r="D32" s="77"/>
      <c r="E32" s="77"/>
      <c r="F32" s="77"/>
      <c r="G32" s="77"/>
      <c r="H32" s="77">
        <v>3500</v>
      </c>
      <c r="I32" s="77"/>
      <c r="J32" s="77"/>
      <c r="K32" s="77"/>
      <c r="L32" s="77">
        <f t="shared" si="6"/>
        <v>93241</v>
      </c>
      <c r="M32" s="136">
        <v>56230.150000000009</v>
      </c>
      <c r="N32" s="77">
        <f t="shared" si="7"/>
        <v>37010.849999999991</v>
      </c>
      <c r="O32" s="78">
        <f t="shared" si="8"/>
        <v>1.3257278957613521E-2</v>
      </c>
    </row>
    <row r="33" spans="1:17" ht="17.100000000000001" customHeight="1" x14ac:dyDescent="0.2">
      <c r="A33" s="88" t="s">
        <v>44</v>
      </c>
      <c r="B33" s="72" t="s">
        <v>235</v>
      </c>
      <c r="C33" s="77">
        <v>7478.416666666667</v>
      </c>
      <c r="D33" s="77"/>
      <c r="E33" s="77"/>
      <c r="F33" s="77"/>
      <c r="G33" s="77"/>
      <c r="H33" s="77">
        <v>2000</v>
      </c>
      <c r="I33" s="77"/>
      <c r="J33" s="77"/>
      <c r="K33" s="77"/>
      <c r="L33" s="77">
        <f t="shared" si="6"/>
        <v>9478.4166666666679</v>
      </c>
      <c r="M33" s="136">
        <v>5269.920000000001</v>
      </c>
      <c r="N33" s="77">
        <f t="shared" si="7"/>
        <v>4208.4966666666669</v>
      </c>
      <c r="O33" s="78">
        <f t="shared" si="8"/>
        <v>1.242479337585026E-3</v>
      </c>
      <c r="P33" s="65"/>
      <c r="Q33" s="65"/>
    </row>
    <row r="34" spans="1:17" ht="17.100000000000001" customHeight="1" x14ac:dyDescent="0.2">
      <c r="A34" s="88" t="s">
        <v>45</v>
      </c>
      <c r="B34" s="72" t="s">
        <v>46</v>
      </c>
      <c r="C34" s="77">
        <v>64432.876666666663</v>
      </c>
      <c r="D34" s="77"/>
      <c r="E34" s="77"/>
      <c r="F34" s="77"/>
      <c r="G34" s="77"/>
      <c r="H34" s="77">
        <v>12000</v>
      </c>
      <c r="I34" s="77"/>
      <c r="J34" s="77"/>
      <c r="K34" s="77"/>
      <c r="L34" s="77">
        <f t="shared" si="6"/>
        <v>76432.876666666663</v>
      </c>
      <c r="M34" s="136">
        <v>2656.18</v>
      </c>
      <c r="N34" s="77">
        <f t="shared" si="7"/>
        <v>73776.69666666667</v>
      </c>
      <c r="O34" s="78">
        <f t="shared" si="8"/>
        <v>6.2624266913095328E-4</v>
      </c>
      <c r="P34" s="65"/>
      <c r="Q34" s="65"/>
    </row>
    <row r="35" spans="1:17" ht="17.100000000000001" customHeight="1" x14ac:dyDescent="0.2">
      <c r="A35" s="88" t="s">
        <v>47</v>
      </c>
      <c r="B35" s="72" t="s">
        <v>114</v>
      </c>
      <c r="C35" s="77">
        <v>64432.876666666663</v>
      </c>
      <c r="D35" s="77"/>
      <c r="E35" s="77"/>
      <c r="F35" s="77"/>
      <c r="G35" s="77"/>
      <c r="H35" s="77">
        <v>6000</v>
      </c>
      <c r="I35" s="77"/>
      <c r="J35" s="77"/>
      <c r="K35" s="77"/>
      <c r="L35" s="77">
        <f t="shared" si="6"/>
        <v>70432.876666666663</v>
      </c>
      <c r="M35" s="136">
        <v>63540.950000000004</v>
      </c>
      <c r="N35" s="77">
        <f t="shared" si="7"/>
        <v>6891.926666666659</v>
      </c>
      <c r="O35" s="78">
        <f t="shared" si="8"/>
        <v>1.4980932815967463E-2</v>
      </c>
      <c r="P35" s="65"/>
      <c r="Q35" s="65"/>
    </row>
    <row r="36" spans="1:17" ht="17.100000000000001" customHeight="1" x14ac:dyDescent="0.2">
      <c r="A36" s="88" t="s">
        <v>48</v>
      </c>
      <c r="B36" s="72" t="s">
        <v>49</v>
      </c>
      <c r="C36" s="77">
        <v>4000</v>
      </c>
      <c r="D36" s="77"/>
      <c r="E36" s="77"/>
      <c r="F36" s="77"/>
      <c r="G36" s="77"/>
      <c r="H36" s="77">
        <v>5500</v>
      </c>
      <c r="I36" s="77"/>
      <c r="J36" s="77"/>
      <c r="K36" s="77"/>
      <c r="L36" s="77">
        <f t="shared" si="6"/>
        <v>9500</v>
      </c>
      <c r="M36" s="136">
        <v>234.52</v>
      </c>
      <c r="N36" s="77">
        <f t="shared" si="7"/>
        <v>9265.48</v>
      </c>
      <c r="O36" s="78">
        <f t="shared" si="8"/>
        <v>5.5292348697976484E-5</v>
      </c>
      <c r="P36" s="65"/>
      <c r="Q36" s="65"/>
    </row>
    <row r="37" spans="1:17" ht="17.100000000000001" customHeight="1" x14ac:dyDescent="0.2">
      <c r="A37" s="88"/>
      <c r="B37" s="7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36"/>
      <c r="N37" s="77"/>
      <c r="O37" s="78"/>
      <c r="P37" s="65"/>
      <c r="Q37" s="65"/>
    </row>
    <row r="38" spans="1:17" ht="17.100000000000001" customHeight="1" x14ac:dyDescent="0.25">
      <c r="A38" s="86">
        <v>1</v>
      </c>
      <c r="B38" s="87" t="s">
        <v>50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36"/>
      <c r="N38" s="77"/>
      <c r="O38" s="78"/>
      <c r="P38" s="65"/>
      <c r="Q38" s="65"/>
    </row>
    <row r="39" spans="1:17" ht="17.100000000000001" customHeight="1" x14ac:dyDescent="0.2">
      <c r="A39" s="88" t="s">
        <v>115</v>
      </c>
      <c r="B39" s="72" t="s">
        <v>51</v>
      </c>
      <c r="C39" s="77">
        <v>11723.320000000002</v>
      </c>
      <c r="D39" s="77"/>
      <c r="E39" s="77"/>
      <c r="F39" s="77"/>
      <c r="G39" s="77"/>
      <c r="H39" s="77"/>
      <c r="I39" s="77"/>
      <c r="J39" s="77"/>
      <c r="K39" s="77"/>
      <c r="L39" s="77">
        <f t="shared" ref="L39:L44" si="9">C39+D39-E39+F39-G39+H39-I39+J39-K39</f>
        <v>11723.320000000002</v>
      </c>
      <c r="M39" s="136">
        <v>6098.91</v>
      </c>
      <c r="N39" s="77">
        <f t="shared" si="7"/>
        <v>5624.4100000000017</v>
      </c>
      <c r="O39" s="78">
        <f t="shared" ref="O39:O72" si="10">M39/$M$123</f>
        <v>1.4379287838886907E-3</v>
      </c>
      <c r="P39" s="65"/>
      <c r="Q39" s="65"/>
    </row>
    <row r="40" spans="1:17" ht="17.100000000000001" customHeight="1" x14ac:dyDescent="0.2">
      <c r="A40" s="88" t="s">
        <v>116</v>
      </c>
      <c r="B40" s="72" t="s">
        <v>52</v>
      </c>
      <c r="C40" s="77">
        <v>24780</v>
      </c>
      <c r="D40" s="77"/>
      <c r="E40" s="77"/>
      <c r="F40" s="77"/>
      <c r="G40" s="77"/>
      <c r="H40" s="77"/>
      <c r="I40" s="77"/>
      <c r="J40" s="77"/>
      <c r="K40" s="77"/>
      <c r="L40" s="77">
        <f t="shared" si="9"/>
        <v>24780</v>
      </c>
      <c r="M40" s="136">
        <v>16689.5</v>
      </c>
      <c r="N40" s="77">
        <f t="shared" si="7"/>
        <v>8090.5</v>
      </c>
      <c r="O40" s="78">
        <f t="shared" si="10"/>
        <v>3.9348526931386602E-3</v>
      </c>
      <c r="P40" s="65"/>
      <c r="Q40" s="65"/>
    </row>
    <row r="41" spans="1:17" ht="17.100000000000001" customHeight="1" x14ac:dyDescent="0.2">
      <c r="A41" s="88" t="s">
        <v>117</v>
      </c>
      <c r="B41" s="72" t="s">
        <v>53</v>
      </c>
      <c r="C41" s="77">
        <v>2500</v>
      </c>
      <c r="D41" s="77"/>
      <c r="E41" s="77"/>
      <c r="F41" s="77"/>
      <c r="G41" s="77"/>
      <c r="H41" s="77"/>
      <c r="I41" s="77"/>
      <c r="J41" s="77"/>
      <c r="K41" s="77"/>
      <c r="L41" s="77">
        <f t="shared" si="9"/>
        <v>2500</v>
      </c>
      <c r="M41" s="136">
        <v>226</v>
      </c>
      <c r="N41" s="77">
        <f t="shared" si="7"/>
        <v>2274</v>
      </c>
      <c r="O41" s="78">
        <f t="shared" si="10"/>
        <v>5.3283603981505568E-5</v>
      </c>
      <c r="P41" s="65"/>
      <c r="Q41" s="65"/>
    </row>
    <row r="42" spans="1:17" ht="17.100000000000001" customHeight="1" x14ac:dyDescent="0.2">
      <c r="A42" s="88" t="s">
        <v>118</v>
      </c>
      <c r="B42" s="72" t="s">
        <v>54</v>
      </c>
      <c r="C42" s="77">
        <v>4464</v>
      </c>
      <c r="D42" s="77">
        <v>1200</v>
      </c>
      <c r="E42" s="77"/>
      <c r="F42" s="77">
        <v>4500</v>
      </c>
      <c r="G42" s="77"/>
      <c r="H42" s="77"/>
      <c r="I42" s="77"/>
      <c r="J42" s="77"/>
      <c r="K42" s="77"/>
      <c r="L42" s="77">
        <f t="shared" si="9"/>
        <v>10164</v>
      </c>
      <c r="M42" s="136">
        <v>7519.04</v>
      </c>
      <c r="N42" s="77">
        <f t="shared" si="7"/>
        <v>2644.96</v>
      </c>
      <c r="O42" s="78">
        <f t="shared" si="10"/>
        <v>1.7727502198278745E-3</v>
      </c>
      <c r="P42" s="65"/>
      <c r="Q42" s="65"/>
    </row>
    <row r="43" spans="1:17" ht="17.100000000000001" customHeight="1" x14ac:dyDescent="0.2">
      <c r="A43" s="88" t="s">
        <v>119</v>
      </c>
      <c r="B43" s="72" t="s">
        <v>120</v>
      </c>
      <c r="C43" s="77">
        <v>12200</v>
      </c>
      <c r="D43" s="77"/>
      <c r="E43" s="77"/>
      <c r="F43" s="77">
        <v>3500</v>
      </c>
      <c r="G43" s="77"/>
      <c r="H43" s="77"/>
      <c r="I43" s="77"/>
      <c r="J43" s="77"/>
      <c r="K43" s="77"/>
      <c r="L43" s="77">
        <f t="shared" si="9"/>
        <v>15700</v>
      </c>
      <c r="M43" s="136">
        <v>13101</v>
      </c>
      <c r="N43" s="77">
        <f t="shared" si="7"/>
        <v>2599</v>
      </c>
      <c r="O43" s="78">
        <f t="shared" si="10"/>
        <v>3.0887986538128513E-3</v>
      </c>
      <c r="P43" s="65"/>
      <c r="Q43" s="65"/>
    </row>
    <row r="44" spans="1:17" ht="17.100000000000001" customHeight="1" x14ac:dyDescent="0.2">
      <c r="A44" s="88" t="s">
        <v>121</v>
      </c>
      <c r="B44" s="72" t="s">
        <v>122</v>
      </c>
      <c r="C44" s="77">
        <v>1218400</v>
      </c>
      <c r="D44" s="77">
        <v>64062.78</v>
      </c>
      <c r="E44" s="77"/>
      <c r="F44" s="77"/>
      <c r="G44" s="77"/>
      <c r="H44" s="77">
        <v>77500</v>
      </c>
      <c r="I44" s="77"/>
      <c r="J44" s="77">
        <v>100000</v>
      </c>
      <c r="K44" s="77"/>
      <c r="L44" s="77">
        <f t="shared" si="9"/>
        <v>1459962.78</v>
      </c>
      <c r="M44" s="136">
        <v>1118986.45</v>
      </c>
      <c r="N44" s="77">
        <f t="shared" si="7"/>
        <v>340976.33000000007</v>
      </c>
      <c r="O44" s="78">
        <f t="shared" si="10"/>
        <v>0.26382137549765833</v>
      </c>
      <c r="P44" s="65"/>
      <c r="Q44" s="65"/>
    </row>
    <row r="45" spans="1:17" ht="17.100000000000001" customHeight="1" x14ac:dyDescent="0.2">
      <c r="A45" s="88" t="s">
        <v>123</v>
      </c>
      <c r="B45" s="72" t="s">
        <v>124</v>
      </c>
      <c r="C45" s="77">
        <v>0</v>
      </c>
      <c r="D45" s="77"/>
      <c r="E45" s="77"/>
      <c r="F45" s="77"/>
      <c r="G45" s="77"/>
      <c r="H45" s="77"/>
      <c r="I45" s="77"/>
      <c r="J45" s="77"/>
      <c r="K45" s="77"/>
      <c r="L45" s="77">
        <v>0</v>
      </c>
      <c r="M45" s="136">
        <v>0</v>
      </c>
      <c r="N45" s="77">
        <f t="shared" si="7"/>
        <v>0</v>
      </c>
      <c r="O45" s="78">
        <f t="shared" si="10"/>
        <v>0</v>
      </c>
      <c r="P45" s="65"/>
      <c r="Q45" s="65"/>
    </row>
    <row r="46" spans="1:17" ht="17.100000000000001" customHeight="1" x14ac:dyDescent="0.2">
      <c r="A46" s="88" t="s">
        <v>125</v>
      </c>
      <c r="B46" s="72" t="s">
        <v>126</v>
      </c>
      <c r="C46" s="77">
        <v>0</v>
      </c>
      <c r="D46" s="77"/>
      <c r="E46" s="77"/>
      <c r="F46" s="77"/>
      <c r="G46" s="77"/>
      <c r="H46" s="77"/>
      <c r="I46" s="77"/>
      <c r="J46" s="77"/>
      <c r="K46" s="77"/>
      <c r="L46" s="77">
        <v>0</v>
      </c>
      <c r="M46" s="136">
        <v>0</v>
      </c>
      <c r="N46" s="77">
        <f t="shared" si="7"/>
        <v>0</v>
      </c>
      <c r="O46" s="78">
        <f t="shared" si="10"/>
        <v>0</v>
      </c>
      <c r="P46" s="65"/>
      <c r="Q46" s="65"/>
    </row>
    <row r="47" spans="1:17" ht="17.100000000000001" customHeight="1" x14ac:dyDescent="0.2">
      <c r="A47" s="88" t="s">
        <v>127</v>
      </c>
      <c r="B47" s="72" t="s">
        <v>55</v>
      </c>
      <c r="C47" s="77">
        <v>104664</v>
      </c>
      <c r="D47" s="77">
        <v>13644</v>
      </c>
      <c r="E47" s="77"/>
      <c r="F47" s="77"/>
      <c r="G47" s="77"/>
      <c r="H47" s="77"/>
      <c r="I47" s="77"/>
      <c r="J47" s="77"/>
      <c r="K47" s="77"/>
      <c r="L47" s="77">
        <f t="shared" ref="L47:L59" si="11">C47+D47-E47+F47-G47+H47-I47+J47-K47</f>
        <v>118308</v>
      </c>
      <c r="M47" s="136">
        <v>45113.37</v>
      </c>
      <c r="N47" s="77">
        <f t="shared" si="7"/>
        <v>73194.63</v>
      </c>
      <c r="O47" s="78">
        <f t="shared" si="10"/>
        <v>1.0636296200668735E-2</v>
      </c>
      <c r="P47" s="65"/>
      <c r="Q47" s="65"/>
    </row>
    <row r="48" spans="1:17" ht="17.100000000000001" customHeight="1" x14ac:dyDescent="0.2">
      <c r="A48" s="88" t="s">
        <v>128</v>
      </c>
      <c r="B48" s="72" t="s">
        <v>237</v>
      </c>
      <c r="C48" s="77">
        <v>459374.84</v>
      </c>
      <c r="D48" s="77">
        <v>11548.31</v>
      </c>
      <c r="E48" s="77"/>
      <c r="F48" s="77"/>
      <c r="G48" s="77"/>
      <c r="H48" s="77"/>
      <c r="I48" s="77"/>
      <c r="J48" s="77"/>
      <c r="K48" s="77"/>
      <c r="L48" s="77">
        <f t="shared" si="11"/>
        <v>470923.15</v>
      </c>
      <c r="M48" s="136">
        <v>286322.44</v>
      </c>
      <c r="N48" s="77">
        <f t="shared" si="7"/>
        <v>184600.71000000002</v>
      </c>
      <c r="O48" s="78">
        <f t="shared" si="10"/>
        <v>6.7505714619373408E-2</v>
      </c>
      <c r="P48" s="65"/>
      <c r="Q48" s="65"/>
    </row>
    <row r="49" spans="1:17" ht="17.100000000000001" customHeight="1" x14ac:dyDescent="0.2">
      <c r="A49" s="88" t="s">
        <v>130</v>
      </c>
      <c r="B49" s="72" t="s">
        <v>56</v>
      </c>
      <c r="C49" s="77">
        <v>9000</v>
      </c>
      <c r="D49" s="77"/>
      <c r="E49" s="77"/>
      <c r="F49" s="77"/>
      <c r="G49" s="77"/>
      <c r="H49" s="77">
        <v>7500</v>
      </c>
      <c r="I49" s="77"/>
      <c r="J49" s="77"/>
      <c r="K49" s="77"/>
      <c r="L49" s="77">
        <f t="shared" si="11"/>
        <v>16500</v>
      </c>
      <c r="M49" s="136">
        <v>9488.19</v>
      </c>
      <c r="N49" s="77">
        <f t="shared" si="7"/>
        <v>7011.8099999999995</v>
      </c>
      <c r="O49" s="78">
        <f t="shared" si="10"/>
        <v>2.2370130905366432E-3</v>
      </c>
      <c r="P49" s="65"/>
      <c r="Q49" s="65"/>
    </row>
    <row r="50" spans="1:17" ht="17.100000000000001" customHeight="1" x14ac:dyDescent="0.2">
      <c r="A50" s="88" t="s">
        <v>131</v>
      </c>
      <c r="B50" s="72" t="s">
        <v>57</v>
      </c>
      <c r="C50" s="77">
        <v>25000</v>
      </c>
      <c r="D50" s="77"/>
      <c r="E50" s="77"/>
      <c r="F50" s="77">
        <v>27000</v>
      </c>
      <c r="G50" s="77"/>
      <c r="H50" s="77">
        <v>35000</v>
      </c>
      <c r="I50" s="77"/>
      <c r="J50" s="77"/>
      <c r="K50" s="77"/>
      <c r="L50" s="77">
        <f t="shared" si="11"/>
        <v>87000</v>
      </c>
      <c r="M50" s="136">
        <v>46209.279999999999</v>
      </c>
      <c r="N50" s="77">
        <f t="shared" si="7"/>
        <v>40790.720000000001</v>
      </c>
      <c r="O50" s="78">
        <f t="shared" si="10"/>
        <v>1.0894676884028785E-2</v>
      </c>
      <c r="P50" s="65"/>
      <c r="Q50" s="65"/>
    </row>
    <row r="51" spans="1:17" ht="17.100000000000001" customHeight="1" x14ac:dyDescent="0.2">
      <c r="A51" s="88" t="s">
        <v>132</v>
      </c>
      <c r="B51" s="72" t="s">
        <v>133</v>
      </c>
      <c r="C51" s="77">
        <v>70560</v>
      </c>
      <c r="D51" s="77"/>
      <c r="E51" s="77"/>
      <c r="F51" s="77"/>
      <c r="G51" s="77"/>
      <c r="H51" s="77"/>
      <c r="I51" s="77"/>
      <c r="J51" s="77"/>
      <c r="K51" s="77"/>
      <c r="L51" s="77">
        <f t="shared" si="11"/>
        <v>70560</v>
      </c>
      <c r="M51" s="136">
        <v>52920</v>
      </c>
      <c r="N51" s="77">
        <f t="shared" si="7"/>
        <v>17640</v>
      </c>
      <c r="O51" s="78">
        <f t="shared" si="10"/>
        <v>1.2476850985403871E-2</v>
      </c>
      <c r="P51" s="65"/>
      <c r="Q51" s="65"/>
    </row>
    <row r="52" spans="1:17" ht="17.100000000000001" customHeight="1" x14ac:dyDescent="0.2">
      <c r="A52" s="88" t="s">
        <v>134</v>
      </c>
      <c r="B52" s="72" t="s">
        <v>58</v>
      </c>
      <c r="C52" s="77">
        <v>35200</v>
      </c>
      <c r="D52" s="77"/>
      <c r="E52" s="77"/>
      <c r="F52" s="77"/>
      <c r="G52" s="77"/>
      <c r="H52" s="77"/>
      <c r="I52" s="77"/>
      <c r="J52" s="77"/>
      <c r="K52" s="77"/>
      <c r="L52" s="77">
        <f t="shared" si="11"/>
        <v>35200</v>
      </c>
      <c r="M52" s="136">
        <v>28875</v>
      </c>
      <c r="N52" s="77">
        <f t="shared" si="7"/>
        <v>6325</v>
      </c>
      <c r="O52" s="78">
        <f t="shared" si="10"/>
        <v>6.8078055971945717E-3</v>
      </c>
      <c r="P52" s="65"/>
      <c r="Q52" s="65"/>
    </row>
    <row r="53" spans="1:17" ht="17.100000000000001" customHeight="1" x14ac:dyDescent="0.2">
      <c r="A53" s="88" t="s">
        <v>135</v>
      </c>
      <c r="B53" s="72" t="s">
        <v>59</v>
      </c>
      <c r="C53" s="77">
        <v>6550</v>
      </c>
      <c r="D53" s="77"/>
      <c r="E53" s="77"/>
      <c r="F53" s="77"/>
      <c r="G53" s="77"/>
      <c r="H53" s="77"/>
      <c r="I53" s="77"/>
      <c r="J53" s="77"/>
      <c r="K53" s="77"/>
      <c r="L53" s="77">
        <f t="shared" si="11"/>
        <v>6550</v>
      </c>
      <c r="M53" s="136">
        <v>3335</v>
      </c>
      <c r="N53" s="77">
        <f t="shared" si="7"/>
        <v>3215</v>
      </c>
      <c r="O53" s="78">
        <f t="shared" si="10"/>
        <v>7.8628681096602239E-4</v>
      </c>
      <c r="P53" s="65"/>
      <c r="Q53" s="65"/>
    </row>
    <row r="54" spans="1:17" ht="17.100000000000001" customHeight="1" x14ac:dyDescent="0.2">
      <c r="A54" s="88" t="s">
        <v>136</v>
      </c>
      <c r="B54" s="72" t="s">
        <v>137</v>
      </c>
      <c r="C54" s="77">
        <v>2000</v>
      </c>
      <c r="D54" s="77"/>
      <c r="E54" s="77"/>
      <c r="F54" s="77"/>
      <c r="G54" s="77"/>
      <c r="H54" s="77"/>
      <c r="I54" s="77"/>
      <c r="J54" s="77"/>
      <c r="K54" s="77"/>
      <c r="L54" s="77">
        <f t="shared" si="11"/>
        <v>2000</v>
      </c>
      <c r="M54" s="136">
        <v>945</v>
      </c>
      <c r="N54" s="77">
        <f t="shared" si="7"/>
        <v>1055</v>
      </c>
      <c r="O54" s="78">
        <f t="shared" si="10"/>
        <v>2.2280091045364053E-4</v>
      </c>
      <c r="P54" s="65"/>
      <c r="Q54" s="65"/>
    </row>
    <row r="55" spans="1:17" ht="17.100000000000001" customHeight="1" x14ac:dyDescent="0.2">
      <c r="A55" s="88" t="s">
        <v>138</v>
      </c>
      <c r="B55" s="72" t="s">
        <v>139</v>
      </c>
      <c r="C55" s="77">
        <v>10000</v>
      </c>
      <c r="D55" s="77"/>
      <c r="E55" s="77"/>
      <c r="F55" s="77"/>
      <c r="G55" s="77"/>
      <c r="H55" s="77"/>
      <c r="I55" s="77"/>
      <c r="J55" s="77">
        <v>35000</v>
      </c>
      <c r="K55" s="77"/>
      <c r="L55" s="77">
        <f t="shared" si="11"/>
        <v>45000</v>
      </c>
      <c r="M55" s="136">
        <v>23695</v>
      </c>
      <c r="N55" s="77">
        <f t="shared" si="7"/>
        <v>21305</v>
      </c>
      <c r="O55" s="78">
        <f t="shared" si="10"/>
        <v>5.5865265324857279E-3</v>
      </c>
      <c r="P55" s="65"/>
      <c r="Q55" s="65"/>
    </row>
    <row r="56" spans="1:17" ht="17.100000000000001" customHeight="1" x14ac:dyDescent="0.2">
      <c r="A56" s="88" t="s">
        <v>140</v>
      </c>
      <c r="B56" s="72" t="s">
        <v>141</v>
      </c>
      <c r="C56" s="77">
        <v>6900</v>
      </c>
      <c r="D56" s="77"/>
      <c r="E56" s="77"/>
      <c r="F56" s="77">
        <v>850</v>
      </c>
      <c r="G56" s="77"/>
      <c r="H56" s="77"/>
      <c r="I56" s="77"/>
      <c r="J56" s="77"/>
      <c r="K56" s="77"/>
      <c r="L56" s="77">
        <f t="shared" si="11"/>
        <v>7750</v>
      </c>
      <c r="M56" s="136">
        <v>749.71</v>
      </c>
      <c r="N56" s="77">
        <f t="shared" si="7"/>
        <v>7000.29</v>
      </c>
      <c r="O56" s="78">
        <f t="shared" si="10"/>
        <v>1.7675774664148027E-4</v>
      </c>
      <c r="P56" s="65"/>
      <c r="Q56" s="65"/>
    </row>
    <row r="57" spans="1:17" ht="17.100000000000001" customHeight="1" x14ac:dyDescent="0.2">
      <c r="A57" s="88" t="s">
        <v>142</v>
      </c>
      <c r="B57" s="72" t="s">
        <v>143</v>
      </c>
      <c r="C57" s="77">
        <v>3000</v>
      </c>
      <c r="D57" s="77"/>
      <c r="E57" s="77"/>
      <c r="F57" s="77"/>
      <c r="G57" s="77"/>
      <c r="H57" s="77">
        <v>2500</v>
      </c>
      <c r="I57" s="77"/>
      <c r="J57" s="77"/>
      <c r="K57" s="77"/>
      <c r="L57" s="77">
        <f t="shared" si="11"/>
        <v>5500</v>
      </c>
      <c r="M57" s="136">
        <v>3000</v>
      </c>
      <c r="N57" s="77">
        <f t="shared" si="7"/>
        <v>2500</v>
      </c>
      <c r="O57" s="78">
        <f t="shared" si="10"/>
        <v>7.0730447763060484E-4</v>
      </c>
      <c r="P57" s="65"/>
      <c r="Q57" s="65"/>
    </row>
    <row r="58" spans="1:17" ht="17.100000000000001" customHeight="1" x14ac:dyDescent="0.2">
      <c r="A58" s="88" t="s">
        <v>144</v>
      </c>
      <c r="B58" s="72" t="s">
        <v>145</v>
      </c>
      <c r="C58" s="77">
        <v>5000</v>
      </c>
      <c r="D58" s="77">
        <v>250</v>
      </c>
      <c r="E58" s="77"/>
      <c r="F58" s="77">
        <v>12285</v>
      </c>
      <c r="G58" s="77"/>
      <c r="H58" s="77">
        <v>8500</v>
      </c>
      <c r="I58" s="77"/>
      <c r="J58" s="77"/>
      <c r="K58" s="77"/>
      <c r="L58" s="77">
        <f t="shared" si="11"/>
        <v>26035</v>
      </c>
      <c r="M58" s="136">
        <v>11200</v>
      </c>
      <c r="N58" s="77">
        <f t="shared" si="7"/>
        <v>14835</v>
      </c>
      <c r="O58" s="78">
        <f t="shared" si="10"/>
        <v>2.6406033831542584E-3</v>
      </c>
      <c r="P58" s="65"/>
      <c r="Q58" s="65"/>
    </row>
    <row r="59" spans="1:17" ht="17.100000000000001" customHeight="1" x14ac:dyDescent="0.2">
      <c r="A59" s="88" t="s">
        <v>146</v>
      </c>
      <c r="B59" s="72" t="s">
        <v>147</v>
      </c>
      <c r="C59" s="77">
        <v>180000</v>
      </c>
      <c r="D59" s="77"/>
      <c r="E59" s="77"/>
      <c r="F59" s="77"/>
      <c r="G59" s="77"/>
      <c r="H59" s="77"/>
      <c r="I59" s="77"/>
      <c r="J59" s="77"/>
      <c r="K59" s="77"/>
      <c r="L59" s="77">
        <f t="shared" si="11"/>
        <v>180000</v>
      </c>
      <c r="M59" s="136">
        <v>84000</v>
      </c>
      <c r="N59" s="77">
        <f t="shared" si="7"/>
        <v>96000</v>
      </c>
      <c r="O59" s="78">
        <f t="shared" si="10"/>
        <v>1.9804525373656935E-2</v>
      </c>
      <c r="P59" s="65"/>
      <c r="Q59" s="65"/>
    </row>
    <row r="60" spans="1:17" ht="17.100000000000001" customHeight="1" x14ac:dyDescent="0.2">
      <c r="A60" s="88" t="s">
        <v>148</v>
      </c>
      <c r="B60" s="72" t="s">
        <v>149</v>
      </c>
      <c r="C60" s="77">
        <v>0</v>
      </c>
      <c r="D60" s="77"/>
      <c r="E60" s="77"/>
      <c r="F60" s="77"/>
      <c r="G60" s="77"/>
      <c r="H60" s="77"/>
      <c r="I60" s="77"/>
      <c r="J60" s="77"/>
      <c r="K60" s="77"/>
      <c r="L60" s="77">
        <v>0</v>
      </c>
      <c r="M60" s="136">
        <v>0</v>
      </c>
      <c r="N60" s="77">
        <f t="shared" si="7"/>
        <v>0</v>
      </c>
      <c r="O60" s="78">
        <f t="shared" si="10"/>
        <v>0</v>
      </c>
      <c r="P60" s="65"/>
      <c r="Q60" s="65"/>
    </row>
    <row r="61" spans="1:17" ht="17.100000000000001" customHeight="1" x14ac:dyDescent="0.2">
      <c r="A61" s="88" t="s">
        <v>150</v>
      </c>
      <c r="B61" s="72" t="s">
        <v>151</v>
      </c>
      <c r="C61" s="77">
        <v>40600</v>
      </c>
      <c r="D61" s="77"/>
      <c r="E61" s="77">
        <v>16600</v>
      </c>
      <c r="F61" s="77"/>
      <c r="G61" s="77"/>
      <c r="H61" s="77"/>
      <c r="I61" s="77"/>
      <c r="J61" s="77"/>
      <c r="K61" s="77"/>
      <c r="L61" s="77">
        <f t="shared" ref="L61:L72" si="12">C61+D61-E61+F61-G61+H61-I61+J61-K61</f>
        <v>24000</v>
      </c>
      <c r="M61" s="136">
        <v>14875</v>
      </c>
      <c r="N61" s="77">
        <f t="shared" si="7"/>
        <v>9125</v>
      </c>
      <c r="O61" s="78">
        <f t="shared" si="10"/>
        <v>3.5070513682517492E-3</v>
      </c>
      <c r="P61" s="65"/>
      <c r="Q61" s="65"/>
    </row>
    <row r="62" spans="1:17" ht="17.100000000000001" customHeight="1" x14ac:dyDescent="0.2">
      <c r="A62" s="88" t="s">
        <v>152</v>
      </c>
      <c r="B62" s="72" t="s">
        <v>153</v>
      </c>
      <c r="C62" s="77">
        <v>60000</v>
      </c>
      <c r="D62" s="77"/>
      <c r="E62" s="77">
        <v>6000</v>
      </c>
      <c r="F62" s="77"/>
      <c r="G62" s="77"/>
      <c r="H62" s="77"/>
      <c r="I62" s="77"/>
      <c r="J62" s="77"/>
      <c r="K62" s="77"/>
      <c r="L62" s="77">
        <f t="shared" si="12"/>
        <v>54000</v>
      </c>
      <c r="M62" s="136">
        <v>40500</v>
      </c>
      <c r="N62" s="77">
        <f t="shared" si="7"/>
        <v>13500</v>
      </c>
      <c r="O62" s="78">
        <f t="shared" si="10"/>
        <v>9.5486104480131655E-3</v>
      </c>
      <c r="P62" s="65"/>
      <c r="Q62" s="65"/>
    </row>
    <row r="63" spans="1:17" ht="17.100000000000001" customHeight="1" x14ac:dyDescent="0.2">
      <c r="A63" s="88" t="s">
        <v>154</v>
      </c>
      <c r="B63" s="72" t="s">
        <v>60</v>
      </c>
      <c r="C63" s="77">
        <v>11300</v>
      </c>
      <c r="D63" s="77"/>
      <c r="E63" s="77"/>
      <c r="F63" s="77">
        <v>10000</v>
      </c>
      <c r="G63" s="77"/>
      <c r="H63" s="77"/>
      <c r="I63" s="77"/>
      <c r="J63" s="77"/>
      <c r="K63" s="77"/>
      <c r="L63" s="77">
        <f t="shared" si="12"/>
        <v>21300</v>
      </c>
      <c r="M63" s="136">
        <v>5016</v>
      </c>
      <c r="N63" s="77">
        <f t="shared" si="7"/>
        <v>16284</v>
      </c>
      <c r="O63" s="78">
        <f t="shared" si="10"/>
        <v>1.1826130865983714E-3</v>
      </c>
      <c r="P63" s="65"/>
      <c r="Q63" s="65"/>
    </row>
    <row r="64" spans="1:17" ht="17.100000000000001" customHeight="1" x14ac:dyDescent="0.2">
      <c r="A64" s="88" t="s">
        <v>155</v>
      </c>
      <c r="B64" s="72" t="s">
        <v>268</v>
      </c>
      <c r="C64" s="77">
        <v>15500</v>
      </c>
      <c r="D64" s="77"/>
      <c r="E64" s="77"/>
      <c r="F64" s="77">
        <v>18000</v>
      </c>
      <c r="G64" s="77"/>
      <c r="H64" s="77"/>
      <c r="I64" s="77"/>
      <c r="J64" s="77"/>
      <c r="K64" s="77"/>
      <c r="L64" s="77">
        <f t="shared" si="12"/>
        <v>33500</v>
      </c>
      <c r="M64" s="136">
        <v>20635</v>
      </c>
      <c r="N64" s="77">
        <f t="shared" si="7"/>
        <v>12865</v>
      </c>
      <c r="O64" s="78">
        <f t="shared" si="10"/>
        <v>4.8650759653025106E-3</v>
      </c>
      <c r="P64" s="65"/>
      <c r="Q64" s="65"/>
    </row>
    <row r="65" spans="1:17" ht="17.100000000000001" customHeight="1" x14ac:dyDescent="0.2">
      <c r="A65" s="88" t="s">
        <v>157</v>
      </c>
      <c r="B65" s="72" t="s">
        <v>61</v>
      </c>
      <c r="C65" s="77">
        <v>24394.959999999995</v>
      </c>
      <c r="D65" s="77"/>
      <c r="E65" s="77">
        <v>3200</v>
      </c>
      <c r="F65" s="77">
        <v>12000</v>
      </c>
      <c r="G65" s="77"/>
      <c r="H65" s="77"/>
      <c r="I65" s="77"/>
      <c r="J65" s="77"/>
      <c r="K65" s="77"/>
      <c r="L65" s="77">
        <f t="shared" si="12"/>
        <v>33194.959999999992</v>
      </c>
      <c r="M65" s="136">
        <v>27322.1</v>
      </c>
      <c r="N65" s="77">
        <f t="shared" si="7"/>
        <v>5872.8599999999933</v>
      </c>
      <c r="O65" s="78">
        <f t="shared" si="10"/>
        <v>6.4416812227570492E-3</v>
      </c>
      <c r="P65" s="65"/>
      <c r="Q65" s="65"/>
    </row>
    <row r="66" spans="1:17" ht="17.100000000000001" customHeight="1" x14ac:dyDescent="0.2">
      <c r="A66" s="88" t="s">
        <v>158</v>
      </c>
      <c r="B66" s="72" t="s">
        <v>62</v>
      </c>
      <c r="C66" s="77">
        <v>80000</v>
      </c>
      <c r="D66" s="77"/>
      <c r="E66" s="77"/>
      <c r="F66" s="77">
        <v>27500</v>
      </c>
      <c r="G66" s="77"/>
      <c r="H66" s="77"/>
      <c r="I66" s="77"/>
      <c r="J66" s="77"/>
      <c r="K66" s="77"/>
      <c r="L66" s="77">
        <f t="shared" si="12"/>
        <v>107500</v>
      </c>
      <c r="M66" s="136">
        <v>0</v>
      </c>
      <c r="N66" s="77">
        <f t="shared" si="7"/>
        <v>107500</v>
      </c>
      <c r="O66" s="78">
        <f t="shared" si="10"/>
        <v>0</v>
      </c>
      <c r="P66" s="65"/>
      <c r="Q66" s="65"/>
    </row>
    <row r="67" spans="1:17" ht="17.100000000000001" customHeight="1" x14ac:dyDescent="0.2">
      <c r="A67" s="88" t="s">
        <v>159</v>
      </c>
      <c r="B67" s="72" t="s">
        <v>238</v>
      </c>
      <c r="C67" s="77">
        <v>244000</v>
      </c>
      <c r="D67" s="77"/>
      <c r="E67" s="77">
        <v>12800</v>
      </c>
      <c r="F67" s="77">
        <v>18000</v>
      </c>
      <c r="G67" s="77"/>
      <c r="H67" s="77"/>
      <c r="I67" s="77"/>
      <c r="J67" s="77"/>
      <c r="K67" s="77"/>
      <c r="L67" s="77">
        <f t="shared" si="12"/>
        <v>249200</v>
      </c>
      <c r="M67" s="136">
        <v>182938.38</v>
      </c>
      <c r="N67" s="77">
        <f t="shared" si="7"/>
        <v>66261.62</v>
      </c>
      <c r="O67" s="78">
        <f t="shared" si="10"/>
        <v>4.3131045101496367E-2</v>
      </c>
      <c r="P67" s="65"/>
      <c r="Q67" s="65"/>
    </row>
    <row r="68" spans="1:17" ht="17.100000000000001" customHeight="1" x14ac:dyDescent="0.2">
      <c r="A68" s="88" t="s">
        <v>160</v>
      </c>
      <c r="B68" s="72" t="s">
        <v>64</v>
      </c>
      <c r="C68" s="77">
        <v>11250</v>
      </c>
      <c r="D68" s="77"/>
      <c r="E68" s="77"/>
      <c r="F68" s="77"/>
      <c r="G68" s="77"/>
      <c r="H68" s="77"/>
      <c r="I68" s="77"/>
      <c r="J68" s="77"/>
      <c r="K68" s="77"/>
      <c r="L68" s="77">
        <f t="shared" si="12"/>
        <v>11250</v>
      </c>
      <c r="M68" s="136">
        <v>6782</v>
      </c>
      <c r="N68" s="77">
        <f t="shared" si="7"/>
        <v>4468</v>
      </c>
      <c r="O68" s="78">
        <f t="shared" si="10"/>
        <v>1.5989796557635875E-3</v>
      </c>
      <c r="P68" s="65"/>
      <c r="Q68" s="65"/>
    </row>
    <row r="69" spans="1:17" ht="17.100000000000001" customHeight="1" x14ac:dyDescent="0.2">
      <c r="A69" s="88" t="s">
        <v>161</v>
      </c>
      <c r="B69" s="72" t="s">
        <v>239</v>
      </c>
      <c r="C69" s="77">
        <v>5000</v>
      </c>
      <c r="D69" s="77"/>
      <c r="E69" s="77"/>
      <c r="F69" s="77"/>
      <c r="G69" s="77"/>
      <c r="H69" s="77"/>
      <c r="I69" s="77"/>
      <c r="J69" s="77"/>
      <c r="K69" s="77"/>
      <c r="L69" s="77">
        <f t="shared" si="12"/>
        <v>5000</v>
      </c>
      <c r="M69" s="136">
        <v>1313.03</v>
      </c>
      <c r="N69" s="77">
        <f t="shared" si="7"/>
        <v>3686.9700000000003</v>
      </c>
      <c r="O69" s="78">
        <f t="shared" si="10"/>
        <v>3.0957066608777105E-4</v>
      </c>
      <c r="P69" s="65"/>
      <c r="Q69" s="65"/>
    </row>
    <row r="70" spans="1:17" ht="17.100000000000001" customHeight="1" x14ac:dyDescent="0.2">
      <c r="A70" s="88" t="s">
        <v>163</v>
      </c>
      <c r="B70" s="72" t="s">
        <v>164</v>
      </c>
      <c r="C70" s="77">
        <v>5000</v>
      </c>
      <c r="D70" s="77"/>
      <c r="E70" s="77"/>
      <c r="F70" s="77">
        <v>11500</v>
      </c>
      <c r="G70" s="77"/>
      <c r="H70" s="77">
        <v>25000</v>
      </c>
      <c r="I70" s="77"/>
      <c r="J70" s="77"/>
      <c r="K70" s="77"/>
      <c r="L70" s="77">
        <f t="shared" si="12"/>
        <v>41500</v>
      </c>
      <c r="M70" s="136">
        <v>36388.54</v>
      </c>
      <c r="N70" s="77">
        <f t="shared" si="7"/>
        <v>5111.4599999999991</v>
      </c>
      <c r="O70" s="78">
        <f t="shared" si="10"/>
        <v>8.5792590921467907E-3</v>
      </c>
      <c r="P70" s="65"/>
      <c r="Q70" s="65"/>
    </row>
    <row r="71" spans="1:17" ht="17.100000000000001" customHeight="1" x14ac:dyDescent="0.2">
      <c r="A71" s="88" t="s">
        <v>165</v>
      </c>
      <c r="B71" s="72" t="s">
        <v>65</v>
      </c>
      <c r="C71" s="77">
        <v>21150</v>
      </c>
      <c r="D71" s="77">
        <v>970</v>
      </c>
      <c r="E71" s="77"/>
      <c r="F71" s="77">
        <v>24500</v>
      </c>
      <c r="G71" s="77">
        <v>9500</v>
      </c>
      <c r="H71" s="77">
        <v>10000</v>
      </c>
      <c r="I71" s="77"/>
      <c r="J71" s="77">
        <v>1000</v>
      </c>
      <c r="K71" s="77"/>
      <c r="L71" s="77">
        <f t="shared" si="12"/>
        <v>48120</v>
      </c>
      <c r="M71" s="136">
        <v>21692.5</v>
      </c>
      <c r="N71" s="77">
        <f t="shared" si="7"/>
        <v>26427.5</v>
      </c>
      <c r="O71" s="78">
        <f t="shared" si="10"/>
        <v>5.1144007936672984E-3</v>
      </c>
      <c r="P71" s="65"/>
      <c r="Q71" s="65"/>
    </row>
    <row r="72" spans="1:17" ht="17.100000000000001" customHeight="1" x14ac:dyDescent="0.2">
      <c r="A72" s="88" t="s">
        <v>166</v>
      </c>
      <c r="B72" s="72" t="s">
        <v>167</v>
      </c>
      <c r="C72" s="77">
        <v>17000</v>
      </c>
      <c r="D72" s="77">
        <v>750</v>
      </c>
      <c r="E72" s="77"/>
      <c r="F72" s="77">
        <v>5000</v>
      </c>
      <c r="G72" s="77"/>
      <c r="H72" s="77">
        <v>7500</v>
      </c>
      <c r="I72" s="77"/>
      <c r="J72" s="77"/>
      <c r="K72" s="77"/>
      <c r="L72" s="77">
        <f t="shared" si="12"/>
        <v>30250</v>
      </c>
      <c r="M72" s="136">
        <v>5755.74</v>
      </c>
      <c r="N72" s="77">
        <f t="shared" si="7"/>
        <v>24494.260000000002</v>
      </c>
      <c r="O72" s="78">
        <f t="shared" si="10"/>
        <v>1.3570202246925259E-3</v>
      </c>
      <c r="P72" s="65"/>
      <c r="Q72" s="65"/>
    </row>
    <row r="73" spans="1:17" ht="17.100000000000001" customHeight="1" x14ac:dyDescent="0.2">
      <c r="A73" s="88"/>
      <c r="B73" s="72"/>
      <c r="C73" s="77"/>
      <c r="D73" s="77"/>
      <c r="E73" s="77"/>
      <c r="F73" s="77"/>
      <c r="G73" s="77"/>
      <c r="H73" s="77"/>
      <c r="I73" s="77"/>
      <c r="J73" s="77"/>
      <c r="K73" s="77"/>
      <c r="L73" s="77">
        <v>0</v>
      </c>
      <c r="M73" s="136"/>
      <c r="N73" s="77"/>
      <c r="O73" s="78"/>
      <c r="P73" s="65"/>
      <c r="Q73" s="65"/>
    </row>
    <row r="74" spans="1:17" ht="17.100000000000001" customHeight="1" x14ac:dyDescent="0.25">
      <c r="A74" s="86">
        <v>2</v>
      </c>
      <c r="B74" s="87" t="s">
        <v>66</v>
      </c>
      <c r="C74" s="77"/>
      <c r="D74" s="77"/>
      <c r="E74" s="77"/>
      <c r="F74" s="77"/>
      <c r="G74" s="77"/>
      <c r="H74" s="77"/>
      <c r="I74" s="77"/>
      <c r="J74" s="77"/>
      <c r="K74" s="77"/>
      <c r="L74" s="77">
        <v>0</v>
      </c>
      <c r="M74" s="136"/>
      <c r="N74" s="77"/>
      <c r="O74" s="78"/>
      <c r="P74" s="65"/>
      <c r="Q74" s="65"/>
    </row>
    <row r="75" spans="1:17" ht="17.100000000000001" customHeight="1" x14ac:dyDescent="0.2">
      <c r="A75" s="88" t="s">
        <v>168</v>
      </c>
      <c r="B75" s="72" t="s">
        <v>67</v>
      </c>
      <c r="C75" s="77">
        <v>116357.64</v>
      </c>
      <c r="D75" s="77">
        <v>40914</v>
      </c>
      <c r="E75" s="77"/>
      <c r="F75" s="77">
        <v>8500</v>
      </c>
      <c r="G75" s="77"/>
      <c r="H75" s="77"/>
      <c r="I75" s="77"/>
      <c r="J75" s="77">
        <v>5500</v>
      </c>
      <c r="K75" s="77"/>
      <c r="L75" s="77">
        <f t="shared" ref="L75:L104" si="13">C75+D75-E75+F75-G75+H75-I75+J75-K75</f>
        <v>171271.64</v>
      </c>
      <c r="M75" s="136">
        <v>52600.100000000006</v>
      </c>
      <c r="N75" s="77">
        <f t="shared" si="7"/>
        <v>118671.54000000001</v>
      </c>
      <c r="O75" s="78">
        <f t="shared" ref="O75:O104" si="14">M75/$M$123</f>
        <v>1.2401428751272528E-2</v>
      </c>
      <c r="P75" s="65"/>
      <c r="Q75" s="65"/>
    </row>
    <row r="76" spans="1:17" ht="17.100000000000001" customHeight="1" x14ac:dyDescent="0.2">
      <c r="A76" s="88" t="s">
        <v>254</v>
      </c>
      <c r="B76" s="72" t="s">
        <v>255</v>
      </c>
      <c r="C76" s="77">
        <v>0</v>
      </c>
      <c r="D76" s="77">
        <v>750</v>
      </c>
      <c r="E76" s="77"/>
      <c r="F76" s="77"/>
      <c r="G76" s="77"/>
      <c r="H76" s="77"/>
      <c r="I76" s="77"/>
      <c r="J76" s="77"/>
      <c r="K76" s="77"/>
      <c r="L76" s="77">
        <f t="shared" si="13"/>
        <v>750</v>
      </c>
      <c r="M76" s="136">
        <v>0</v>
      </c>
      <c r="N76" s="77">
        <f t="shared" si="7"/>
        <v>750</v>
      </c>
      <c r="O76" s="78">
        <f t="shared" si="14"/>
        <v>0</v>
      </c>
      <c r="P76" s="65"/>
      <c r="Q76" s="65"/>
    </row>
    <row r="77" spans="1:17" ht="17.100000000000001" customHeight="1" x14ac:dyDescent="0.2">
      <c r="A77" s="88" t="s">
        <v>170</v>
      </c>
      <c r="B77" s="72" t="s">
        <v>69</v>
      </c>
      <c r="C77" s="77">
        <v>2080</v>
      </c>
      <c r="D77" s="77">
        <v>4500</v>
      </c>
      <c r="E77" s="77"/>
      <c r="F77" s="77">
        <v>3000</v>
      </c>
      <c r="G77" s="77"/>
      <c r="H77" s="77"/>
      <c r="I77" s="77"/>
      <c r="J77" s="77"/>
      <c r="K77" s="77"/>
      <c r="L77" s="77">
        <f t="shared" si="13"/>
        <v>9580</v>
      </c>
      <c r="M77" s="136">
        <v>3335</v>
      </c>
      <c r="N77" s="77">
        <f t="shared" si="7"/>
        <v>6245</v>
      </c>
      <c r="O77" s="78">
        <f t="shared" si="14"/>
        <v>7.8628681096602239E-4</v>
      </c>
      <c r="P77" s="65"/>
      <c r="Q77" s="65"/>
    </row>
    <row r="78" spans="1:17" ht="17.100000000000001" customHeight="1" x14ac:dyDescent="0.2">
      <c r="A78" s="88" t="s">
        <v>171</v>
      </c>
      <c r="B78" s="72" t="s">
        <v>70</v>
      </c>
      <c r="C78" s="77">
        <v>62500</v>
      </c>
      <c r="D78" s="77">
        <v>6450</v>
      </c>
      <c r="E78" s="77"/>
      <c r="F78" s="77">
        <v>7500</v>
      </c>
      <c r="G78" s="77"/>
      <c r="H78" s="77"/>
      <c r="I78" s="77"/>
      <c r="J78" s="77">
        <v>2000</v>
      </c>
      <c r="K78" s="77"/>
      <c r="L78" s="77">
        <f t="shared" si="13"/>
        <v>78450</v>
      </c>
      <c r="M78" s="136">
        <v>22486</v>
      </c>
      <c r="N78" s="77">
        <f t="shared" si="7"/>
        <v>55964</v>
      </c>
      <c r="O78" s="78">
        <f t="shared" si="14"/>
        <v>5.301482828000594E-3</v>
      </c>
      <c r="P78" s="65"/>
      <c r="Q78" s="65"/>
    </row>
    <row r="79" spans="1:17" ht="17.100000000000001" customHeight="1" x14ac:dyDescent="0.2">
      <c r="A79" s="88" t="s">
        <v>172</v>
      </c>
      <c r="B79" s="72" t="s">
        <v>71</v>
      </c>
      <c r="C79" s="77">
        <v>6000</v>
      </c>
      <c r="D79" s="77">
        <v>750</v>
      </c>
      <c r="E79" s="77"/>
      <c r="F79" s="77"/>
      <c r="G79" s="77"/>
      <c r="H79" s="77"/>
      <c r="I79" s="77"/>
      <c r="J79" s="77"/>
      <c r="K79" s="77"/>
      <c r="L79" s="77">
        <f t="shared" si="13"/>
        <v>6750</v>
      </c>
      <c r="M79" s="136">
        <v>2667.05</v>
      </c>
      <c r="N79" s="77">
        <f t="shared" si="7"/>
        <v>4082.95</v>
      </c>
      <c r="O79" s="78">
        <f t="shared" si="14"/>
        <v>6.288054690215683E-4</v>
      </c>
      <c r="P79" s="65"/>
      <c r="Q79" s="65"/>
    </row>
    <row r="80" spans="1:17" ht="17.100000000000001" customHeight="1" x14ac:dyDescent="0.2">
      <c r="A80" s="88" t="s">
        <v>173</v>
      </c>
      <c r="B80" s="72" t="s">
        <v>72</v>
      </c>
      <c r="C80" s="77">
        <v>1100</v>
      </c>
      <c r="D80" s="77"/>
      <c r="E80" s="77"/>
      <c r="F80" s="77"/>
      <c r="G80" s="77"/>
      <c r="H80" s="77"/>
      <c r="I80" s="77"/>
      <c r="J80" s="77"/>
      <c r="K80" s="77"/>
      <c r="L80" s="77">
        <f t="shared" si="13"/>
        <v>1100</v>
      </c>
      <c r="M80" s="136">
        <v>1088.9000000000001</v>
      </c>
      <c r="N80" s="77">
        <f t="shared" si="7"/>
        <v>11.099999999999909</v>
      </c>
      <c r="O80" s="78">
        <f t="shared" si="14"/>
        <v>2.5672794856398858E-4</v>
      </c>
      <c r="P80" s="65"/>
      <c r="Q80" s="65"/>
    </row>
    <row r="81" spans="1:17" ht="17.100000000000001" customHeight="1" x14ac:dyDescent="0.2">
      <c r="A81" s="88" t="s">
        <v>174</v>
      </c>
      <c r="B81" s="72" t="s">
        <v>175</v>
      </c>
      <c r="C81" s="77">
        <v>2255</v>
      </c>
      <c r="D81" s="77"/>
      <c r="E81" s="77"/>
      <c r="F81" s="77"/>
      <c r="G81" s="77"/>
      <c r="H81" s="77"/>
      <c r="I81" s="77"/>
      <c r="J81" s="77"/>
      <c r="K81" s="77"/>
      <c r="L81" s="77">
        <f t="shared" si="13"/>
        <v>2255</v>
      </c>
      <c r="M81" s="136">
        <v>1604.4</v>
      </c>
      <c r="N81" s="77">
        <f t="shared" si="7"/>
        <v>650.59999999999991</v>
      </c>
      <c r="O81" s="78">
        <f t="shared" si="14"/>
        <v>3.782664346368475E-4</v>
      </c>
      <c r="P81" s="65"/>
      <c r="Q81" s="65"/>
    </row>
    <row r="82" spans="1:17" ht="17.100000000000001" customHeight="1" x14ac:dyDescent="0.2">
      <c r="A82" s="88" t="s">
        <v>176</v>
      </c>
      <c r="B82" s="72" t="s">
        <v>177</v>
      </c>
      <c r="C82" s="77">
        <v>1300</v>
      </c>
      <c r="D82" s="77"/>
      <c r="E82" s="77"/>
      <c r="F82" s="77"/>
      <c r="G82" s="77"/>
      <c r="H82" s="77"/>
      <c r="I82" s="77"/>
      <c r="J82" s="77"/>
      <c r="K82" s="77"/>
      <c r="L82" s="77">
        <f t="shared" si="13"/>
        <v>1300</v>
      </c>
      <c r="M82" s="136">
        <v>21</v>
      </c>
      <c r="N82" s="77">
        <f t="shared" si="7"/>
        <v>1279</v>
      </c>
      <c r="O82" s="78">
        <f t="shared" si="14"/>
        <v>4.9511313434142345E-6</v>
      </c>
      <c r="P82" s="65"/>
      <c r="Q82" s="65"/>
    </row>
    <row r="83" spans="1:17" ht="17.100000000000001" customHeight="1" x14ac:dyDescent="0.2">
      <c r="A83" s="88" t="s">
        <v>178</v>
      </c>
      <c r="B83" s="72" t="s">
        <v>179</v>
      </c>
      <c r="C83" s="77">
        <v>7500</v>
      </c>
      <c r="D83" s="77"/>
      <c r="E83" s="77"/>
      <c r="F83" s="77"/>
      <c r="G83" s="77"/>
      <c r="H83" s="77"/>
      <c r="I83" s="77"/>
      <c r="J83" s="77"/>
      <c r="K83" s="77"/>
      <c r="L83" s="77">
        <f t="shared" si="13"/>
        <v>7500</v>
      </c>
      <c r="M83" s="136">
        <v>0</v>
      </c>
      <c r="N83" s="77">
        <f t="shared" si="7"/>
        <v>7500</v>
      </c>
      <c r="O83" s="78">
        <f t="shared" si="14"/>
        <v>0</v>
      </c>
      <c r="P83" s="65"/>
      <c r="Q83" s="65"/>
    </row>
    <row r="84" spans="1:17" ht="17.100000000000001" customHeight="1" x14ac:dyDescent="0.2">
      <c r="A84" s="88" t="s">
        <v>180</v>
      </c>
      <c r="B84" s="72" t="s">
        <v>73</v>
      </c>
      <c r="C84" s="77">
        <v>200</v>
      </c>
      <c r="D84" s="77">
        <v>1050</v>
      </c>
      <c r="E84" s="77"/>
      <c r="F84" s="77"/>
      <c r="G84" s="77"/>
      <c r="H84" s="77"/>
      <c r="I84" s="77"/>
      <c r="J84" s="77"/>
      <c r="K84" s="77"/>
      <c r="L84" s="77">
        <f t="shared" si="13"/>
        <v>1250</v>
      </c>
      <c r="M84" s="136">
        <v>330</v>
      </c>
      <c r="N84" s="77">
        <f t="shared" si="7"/>
        <v>920</v>
      </c>
      <c r="O84" s="78">
        <f t="shared" si="14"/>
        <v>7.7803492539366538E-5</v>
      </c>
      <c r="P84" s="65"/>
      <c r="Q84" s="65"/>
    </row>
    <row r="85" spans="1:17" ht="17.100000000000001" customHeight="1" x14ac:dyDescent="0.2">
      <c r="A85" s="88" t="s">
        <v>181</v>
      </c>
      <c r="B85" s="72" t="s">
        <v>74</v>
      </c>
      <c r="C85" s="77">
        <v>10920</v>
      </c>
      <c r="D85" s="77"/>
      <c r="E85" s="77">
        <v>2700</v>
      </c>
      <c r="F85" s="77"/>
      <c r="G85" s="77"/>
      <c r="H85" s="77"/>
      <c r="I85" s="77"/>
      <c r="J85" s="77"/>
      <c r="K85" s="77"/>
      <c r="L85" s="77">
        <f t="shared" si="13"/>
        <v>8220</v>
      </c>
      <c r="M85" s="136">
        <v>7624.75</v>
      </c>
      <c r="N85" s="77">
        <f t="shared" si="7"/>
        <v>595.25</v>
      </c>
      <c r="O85" s="78">
        <f t="shared" si="14"/>
        <v>1.7976732719379848E-3</v>
      </c>
      <c r="P85" s="65"/>
      <c r="Q85" s="65"/>
    </row>
    <row r="86" spans="1:17" ht="17.100000000000001" customHeight="1" x14ac:dyDescent="0.2">
      <c r="A86" s="88" t="s">
        <v>182</v>
      </c>
      <c r="B86" s="72" t="s">
        <v>183</v>
      </c>
      <c r="C86" s="77">
        <v>1850</v>
      </c>
      <c r="D86" s="77"/>
      <c r="E86" s="77"/>
      <c r="F86" s="77"/>
      <c r="G86" s="77"/>
      <c r="H86" s="77">
        <v>3500</v>
      </c>
      <c r="I86" s="77"/>
      <c r="J86" s="77"/>
      <c r="K86" s="77"/>
      <c r="L86" s="77">
        <f t="shared" si="13"/>
        <v>5350</v>
      </c>
      <c r="M86" s="136">
        <v>2618.04</v>
      </c>
      <c r="N86" s="77">
        <f t="shared" si="7"/>
        <v>2731.96</v>
      </c>
      <c r="O86" s="78">
        <f t="shared" si="14"/>
        <v>6.1725047153867623E-4</v>
      </c>
      <c r="P86" s="65"/>
      <c r="Q86" s="65"/>
    </row>
    <row r="87" spans="1:17" ht="17.100000000000001" customHeight="1" x14ac:dyDescent="0.2">
      <c r="A87" s="88" t="s">
        <v>184</v>
      </c>
      <c r="B87" s="72" t="s">
        <v>75</v>
      </c>
      <c r="C87" s="77">
        <v>19000</v>
      </c>
      <c r="D87" s="77">
        <v>3250</v>
      </c>
      <c r="E87" s="77"/>
      <c r="F87" s="77">
        <v>8640</v>
      </c>
      <c r="G87" s="77"/>
      <c r="H87" s="77">
        <v>10500</v>
      </c>
      <c r="I87" s="77"/>
      <c r="J87" s="77"/>
      <c r="K87" s="77"/>
      <c r="L87" s="77">
        <f t="shared" si="13"/>
        <v>41390</v>
      </c>
      <c r="M87" s="136">
        <v>26119.94</v>
      </c>
      <c r="N87" s="77">
        <f t="shared" si="7"/>
        <v>15270.060000000001</v>
      </c>
      <c r="O87" s="78">
        <f t="shared" si="14"/>
        <v>6.1582501724809138E-3</v>
      </c>
      <c r="P87" s="65"/>
      <c r="Q87" s="65"/>
    </row>
    <row r="88" spans="1:17" ht="17.100000000000001" customHeight="1" x14ac:dyDescent="0.2">
      <c r="A88" s="88" t="s">
        <v>185</v>
      </c>
      <c r="B88" s="72" t="s">
        <v>186</v>
      </c>
      <c r="C88" s="77">
        <v>4793.1600000000008</v>
      </c>
      <c r="D88" s="77">
        <v>17750</v>
      </c>
      <c r="E88" s="77"/>
      <c r="F88" s="77">
        <v>985</v>
      </c>
      <c r="G88" s="77"/>
      <c r="H88" s="77"/>
      <c r="I88" s="77"/>
      <c r="J88" s="77"/>
      <c r="K88" s="77"/>
      <c r="L88" s="77">
        <f t="shared" si="13"/>
        <v>23528.16</v>
      </c>
      <c r="M88" s="136">
        <v>3382.9600000000005</v>
      </c>
      <c r="N88" s="77">
        <f t="shared" si="7"/>
        <v>20145.2</v>
      </c>
      <c r="O88" s="78">
        <f t="shared" si="14"/>
        <v>7.9759425188174376E-4</v>
      </c>
      <c r="P88" s="65"/>
      <c r="Q88" s="65"/>
    </row>
    <row r="89" spans="1:17" ht="17.100000000000001" customHeight="1" x14ac:dyDescent="0.2">
      <c r="A89" s="88" t="s">
        <v>187</v>
      </c>
      <c r="B89" s="72" t="s">
        <v>275</v>
      </c>
      <c r="C89" s="77">
        <v>1250</v>
      </c>
      <c r="D89" s="77"/>
      <c r="E89" s="77"/>
      <c r="F89" s="77">
        <v>650</v>
      </c>
      <c r="G89" s="77"/>
      <c r="H89" s="77"/>
      <c r="I89" s="77"/>
      <c r="J89" s="77"/>
      <c r="K89" s="77"/>
      <c r="L89" s="77">
        <f t="shared" si="13"/>
        <v>1900</v>
      </c>
      <c r="M89" s="136">
        <v>1511</v>
      </c>
      <c r="N89" s="77">
        <f t="shared" ref="N89:N121" si="15">L89-M89</f>
        <v>389</v>
      </c>
      <c r="O89" s="78">
        <f t="shared" si="14"/>
        <v>3.5624568856661463E-4</v>
      </c>
      <c r="P89" s="65"/>
      <c r="Q89" s="65"/>
    </row>
    <row r="90" spans="1:17" ht="17.100000000000001" customHeight="1" x14ac:dyDescent="0.2">
      <c r="A90" s="88" t="s">
        <v>189</v>
      </c>
      <c r="B90" s="72" t="s">
        <v>76</v>
      </c>
      <c r="C90" s="77">
        <v>165089.08000000002</v>
      </c>
      <c r="D90" s="77"/>
      <c r="E90" s="77">
        <v>2000</v>
      </c>
      <c r="F90" s="77"/>
      <c r="G90" s="77">
        <v>77463</v>
      </c>
      <c r="H90" s="77"/>
      <c r="I90" s="77"/>
      <c r="J90" s="77"/>
      <c r="K90" s="77"/>
      <c r="L90" s="77">
        <f t="shared" si="13"/>
        <v>85626.080000000016</v>
      </c>
      <c r="M90" s="136">
        <v>83271.08</v>
      </c>
      <c r="N90" s="77">
        <f t="shared" si="15"/>
        <v>2355.0000000000146</v>
      </c>
      <c r="O90" s="78">
        <f t="shared" si="14"/>
        <v>1.9632669247045438E-2</v>
      </c>
      <c r="P90" s="65"/>
      <c r="Q90" s="65"/>
    </row>
    <row r="91" spans="1:17" ht="17.100000000000001" customHeight="1" x14ac:dyDescent="0.2">
      <c r="A91" s="88" t="s">
        <v>190</v>
      </c>
      <c r="B91" s="72" t="s">
        <v>77</v>
      </c>
      <c r="C91" s="77">
        <v>0</v>
      </c>
      <c r="D91" s="77"/>
      <c r="E91" s="77"/>
      <c r="F91" s="77"/>
      <c r="G91" s="77"/>
      <c r="H91" s="77"/>
      <c r="I91" s="77"/>
      <c r="J91" s="77"/>
      <c r="K91" s="77"/>
      <c r="L91" s="77">
        <f t="shared" si="13"/>
        <v>0</v>
      </c>
      <c r="M91" s="136">
        <v>0</v>
      </c>
      <c r="N91" s="77">
        <f t="shared" si="15"/>
        <v>0</v>
      </c>
      <c r="O91" s="78">
        <f t="shared" si="14"/>
        <v>0</v>
      </c>
      <c r="P91" s="65"/>
      <c r="Q91" s="65"/>
    </row>
    <row r="92" spans="1:17" ht="17.100000000000001" customHeight="1" x14ac:dyDescent="0.2">
      <c r="A92" s="88" t="s">
        <v>256</v>
      </c>
      <c r="B92" s="72" t="s">
        <v>257</v>
      </c>
      <c r="C92" s="77">
        <v>0</v>
      </c>
      <c r="D92" s="77">
        <v>1200</v>
      </c>
      <c r="E92" s="77"/>
      <c r="F92" s="77"/>
      <c r="G92" s="77"/>
      <c r="H92" s="77"/>
      <c r="I92" s="77"/>
      <c r="J92" s="77"/>
      <c r="K92" s="77"/>
      <c r="L92" s="77">
        <f t="shared" si="13"/>
        <v>1200</v>
      </c>
      <c r="M92" s="136">
        <v>75</v>
      </c>
      <c r="N92" s="77">
        <f t="shared" si="15"/>
        <v>1125</v>
      </c>
      <c r="O92" s="78">
        <f t="shared" si="14"/>
        <v>1.7682611940765121E-5</v>
      </c>
      <c r="P92" s="65"/>
      <c r="Q92" s="65"/>
    </row>
    <row r="93" spans="1:17" ht="17.100000000000001" customHeight="1" x14ac:dyDescent="0.2">
      <c r="A93" s="88" t="s">
        <v>258</v>
      </c>
      <c r="B93" s="72" t="s">
        <v>259</v>
      </c>
      <c r="C93" s="77">
        <v>0</v>
      </c>
      <c r="D93" s="77">
        <v>750</v>
      </c>
      <c r="E93" s="77"/>
      <c r="F93" s="77"/>
      <c r="G93" s="77"/>
      <c r="H93" s="77"/>
      <c r="I93" s="77"/>
      <c r="J93" s="77"/>
      <c r="K93" s="77"/>
      <c r="L93" s="77">
        <f t="shared" si="13"/>
        <v>750</v>
      </c>
      <c r="M93" s="136">
        <v>0</v>
      </c>
      <c r="N93" s="77">
        <f t="shared" si="15"/>
        <v>750</v>
      </c>
      <c r="O93" s="78">
        <f t="shared" si="14"/>
        <v>0</v>
      </c>
      <c r="P93" s="65"/>
      <c r="Q93" s="65"/>
    </row>
    <row r="94" spans="1:17" ht="17.100000000000001" customHeight="1" x14ac:dyDescent="0.2">
      <c r="A94" s="88" t="s">
        <v>191</v>
      </c>
      <c r="B94" s="72" t="s">
        <v>78</v>
      </c>
      <c r="C94" s="77">
        <v>1000</v>
      </c>
      <c r="D94" s="77"/>
      <c r="E94" s="77"/>
      <c r="F94" s="77"/>
      <c r="G94" s="77"/>
      <c r="H94" s="77">
        <v>1500</v>
      </c>
      <c r="I94" s="77"/>
      <c r="J94" s="77"/>
      <c r="K94" s="77"/>
      <c r="L94" s="77">
        <f t="shared" si="13"/>
        <v>2500</v>
      </c>
      <c r="M94" s="136">
        <v>1528</v>
      </c>
      <c r="N94" s="77">
        <f t="shared" si="15"/>
        <v>972</v>
      </c>
      <c r="O94" s="78">
        <f t="shared" si="14"/>
        <v>3.6025374727318809E-4</v>
      </c>
      <c r="P94" s="65"/>
      <c r="Q94" s="65"/>
    </row>
    <row r="95" spans="1:17" ht="17.100000000000001" customHeight="1" x14ac:dyDescent="0.2">
      <c r="A95" s="88" t="s">
        <v>192</v>
      </c>
      <c r="B95" s="72" t="s">
        <v>79</v>
      </c>
      <c r="C95" s="77">
        <v>7500</v>
      </c>
      <c r="D95" s="77"/>
      <c r="E95" s="77"/>
      <c r="F95" s="77">
        <v>2500</v>
      </c>
      <c r="G95" s="77"/>
      <c r="H95" s="77"/>
      <c r="I95" s="77"/>
      <c r="J95" s="77"/>
      <c r="K95" s="77"/>
      <c r="L95" s="77">
        <f t="shared" si="13"/>
        <v>10000</v>
      </c>
      <c r="M95" s="136">
        <v>0</v>
      </c>
      <c r="N95" s="77">
        <f t="shared" si="15"/>
        <v>10000</v>
      </c>
      <c r="O95" s="78">
        <f t="shared" si="14"/>
        <v>0</v>
      </c>
      <c r="P95" s="97"/>
      <c r="Q95" s="65"/>
    </row>
    <row r="96" spans="1:17" ht="17.100000000000001" customHeight="1" x14ac:dyDescent="0.2">
      <c r="A96" s="88" t="s">
        <v>193</v>
      </c>
      <c r="B96" s="72" t="s">
        <v>194</v>
      </c>
      <c r="C96" s="77">
        <v>1125749.23</v>
      </c>
      <c r="D96" s="77"/>
      <c r="E96" s="77">
        <v>8775</v>
      </c>
      <c r="F96" s="77"/>
      <c r="G96" s="77"/>
      <c r="H96" s="77"/>
      <c r="I96" s="77">
        <v>25000</v>
      </c>
      <c r="J96" s="77"/>
      <c r="K96" s="77">
        <v>178000</v>
      </c>
      <c r="L96" s="77">
        <f t="shared" si="13"/>
        <v>913974.23</v>
      </c>
      <c r="M96" s="136">
        <v>774785.81</v>
      </c>
      <c r="N96" s="77">
        <f t="shared" si="15"/>
        <v>139188.41999999993</v>
      </c>
      <c r="O96" s="78">
        <f t="shared" si="14"/>
        <v>0.18266982420588504</v>
      </c>
      <c r="P96" s="147"/>
      <c r="Q96" s="97"/>
    </row>
    <row r="97" spans="1:17" ht="17.100000000000001" customHeight="1" x14ac:dyDescent="0.2">
      <c r="A97" s="88" t="s">
        <v>260</v>
      </c>
      <c r="B97" s="72" t="s">
        <v>261</v>
      </c>
      <c r="C97" s="77">
        <v>0</v>
      </c>
      <c r="D97" s="77">
        <v>1750</v>
      </c>
      <c r="E97" s="77"/>
      <c r="F97" s="77"/>
      <c r="G97" s="77"/>
      <c r="H97" s="77">
        <v>2000</v>
      </c>
      <c r="I97" s="77"/>
      <c r="J97" s="77"/>
      <c r="K97" s="77"/>
      <c r="L97" s="77">
        <f t="shared" si="13"/>
        <v>3750</v>
      </c>
      <c r="M97" s="136">
        <v>878.48</v>
      </c>
      <c r="N97" s="77">
        <f t="shared" si="15"/>
        <v>2871.52</v>
      </c>
      <c r="O97" s="78">
        <f t="shared" si="14"/>
        <v>2.0711761250297793E-4</v>
      </c>
      <c r="P97" s="65"/>
      <c r="Q97" s="65"/>
    </row>
    <row r="98" spans="1:17" ht="17.100000000000001" customHeight="1" x14ac:dyDescent="0.2">
      <c r="A98" s="88" t="s">
        <v>195</v>
      </c>
      <c r="B98" s="72" t="s">
        <v>80</v>
      </c>
      <c r="C98" s="77">
        <v>9940</v>
      </c>
      <c r="D98" s="77"/>
      <c r="E98" s="77">
        <v>625</v>
      </c>
      <c r="F98" s="77"/>
      <c r="G98" s="77"/>
      <c r="H98" s="77"/>
      <c r="I98" s="77"/>
      <c r="J98" s="77"/>
      <c r="K98" s="77"/>
      <c r="L98" s="77">
        <f t="shared" si="13"/>
        <v>9315</v>
      </c>
      <c r="M98" s="136">
        <v>4337.0600000000004</v>
      </c>
      <c r="N98" s="77">
        <f t="shared" si="15"/>
        <v>4977.9399999999996</v>
      </c>
      <c r="O98" s="78">
        <f t="shared" si="14"/>
        <v>1.0225406525841971E-3</v>
      </c>
      <c r="P98" s="65"/>
      <c r="Q98" s="65"/>
    </row>
    <row r="99" spans="1:17" ht="17.100000000000001" customHeight="1" x14ac:dyDescent="0.2">
      <c r="A99" s="88" t="s">
        <v>196</v>
      </c>
      <c r="B99" s="72" t="s">
        <v>197</v>
      </c>
      <c r="C99" s="77">
        <v>2250</v>
      </c>
      <c r="D99" s="77"/>
      <c r="E99" s="77">
        <v>450</v>
      </c>
      <c r="F99" s="77"/>
      <c r="G99" s="77"/>
      <c r="H99" s="77"/>
      <c r="I99" s="77"/>
      <c r="J99" s="77"/>
      <c r="K99" s="77"/>
      <c r="L99" s="77">
        <f t="shared" si="13"/>
        <v>1800</v>
      </c>
      <c r="M99" s="136">
        <v>1143.8300000000002</v>
      </c>
      <c r="N99" s="77">
        <f t="shared" si="15"/>
        <v>656.16999999999985</v>
      </c>
      <c r="O99" s="78">
        <f t="shared" si="14"/>
        <v>2.6967869354940495E-4</v>
      </c>
      <c r="P99" s="65"/>
      <c r="Q99" s="65"/>
    </row>
    <row r="100" spans="1:17" ht="17.100000000000001" customHeight="1" x14ac:dyDescent="0.2">
      <c r="A100" s="88" t="s">
        <v>198</v>
      </c>
      <c r="B100" s="72" t="s">
        <v>81</v>
      </c>
      <c r="C100" s="77">
        <v>122483.72</v>
      </c>
      <c r="D100" s="77"/>
      <c r="E100" s="77">
        <v>31960</v>
      </c>
      <c r="F100" s="77">
        <v>3600</v>
      </c>
      <c r="G100" s="77"/>
      <c r="H100" s="77"/>
      <c r="I100" s="77"/>
      <c r="J100" s="77">
        <v>7000</v>
      </c>
      <c r="K100" s="77"/>
      <c r="L100" s="77">
        <f t="shared" si="13"/>
        <v>101123.72</v>
      </c>
      <c r="M100" s="136">
        <v>49030.55</v>
      </c>
      <c r="N100" s="77">
        <f t="shared" si="15"/>
        <v>52093.17</v>
      </c>
      <c r="O100" s="78">
        <f t="shared" si="14"/>
        <v>1.1559842518563752E-2</v>
      </c>
      <c r="P100" s="65"/>
      <c r="Q100" s="65"/>
    </row>
    <row r="101" spans="1:17" ht="17.100000000000001" customHeight="1" x14ac:dyDescent="0.2">
      <c r="A101" s="88" t="s">
        <v>199</v>
      </c>
      <c r="B101" s="72" t="s">
        <v>200</v>
      </c>
      <c r="C101" s="77">
        <v>650</v>
      </c>
      <c r="D101" s="77"/>
      <c r="E101" s="77">
        <v>150</v>
      </c>
      <c r="F101" s="77"/>
      <c r="G101" s="77"/>
      <c r="H101" s="77"/>
      <c r="I101" s="77"/>
      <c r="J101" s="77"/>
      <c r="K101" s="77"/>
      <c r="L101" s="77">
        <f t="shared" si="13"/>
        <v>500</v>
      </c>
      <c r="M101" s="136">
        <v>0</v>
      </c>
      <c r="N101" s="77">
        <f t="shared" si="15"/>
        <v>500</v>
      </c>
      <c r="O101" s="78">
        <f t="shared" si="14"/>
        <v>0</v>
      </c>
      <c r="P101" s="65"/>
      <c r="Q101" s="65"/>
    </row>
    <row r="102" spans="1:17" ht="17.100000000000001" customHeight="1" x14ac:dyDescent="0.2">
      <c r="A102" s="88" t="s">
        <v>201</v>
      </c>
      <c r="B102" s="72" t="s">
        <v>202</v>
      </c>
      <c r="C102" s="77">
        <v>6900</v>
      </c>
      <c r="D102" s="77"/>
      <c r="E102" s="77">
        <v>300</v>
      </c>
      <c r="F102" s="77">
        <v>5250</v>
      </c>
      <c r="G102" s="77"/>
      <c r="H102" s="77"/>
      <c r="I102" s="77"/>
      <c r="J102" s="77"/>
      <c r="K102" s="77"/>
      <c r="L102" s="77">
        <f t="shared" si="13"/>
        <v>11850</v>
      </c>
      <c r="M102" s="136">
        <v>1362.9499999999998</v>
      </c>
      <c r="N102" s="77">
        <f t="shared" si="15"/>
        <v>10487.05</v>
      </c>
      <c r="O102" s="78">
        <f t="shared" si="14"/>
        <v>3.2134021259554423E-4</v>
      </c>
      <c r="P102" s="65"/>
      <c r="Q102" s="65"/>
    </row>
    <row r="103" spans="1:17" ht="17.100000000000001" customHeight="1" x14ac:dyDescent="0.2">
      <c r="A103" s="88" t="s">
        <v>203</v>
      </c>
      <c r="B103" s="72" t="s">
        <v>82</v>
      </c>
      <c r="C103" s="77">
        <v>85470</v>
      </c>
      <c r="D103" s="77"/>
      <c r="E103" s="77">
        <v>5669</v>
      </c>
      <c r="F103" s="77">
        <v>15690</v>
      </c>
      <c r="G103" s="77"/>
      <c r="H103" s="77"/>
      <c r="I103" s="77"/>
      <c r="J103" s="77"/>
      <c r="K103" s="77"/>
      <c r="L103" s="77">
        <f t="shared" si="13"/>
        <v>95491</v>
      </c>
      <c r="M103" s="136">
        <v>56166.030000000006</v>
      </c>
      <c r="N103" s="77">
        <f t="shared" si="15"/>
        <v>39324.969999999994</v>
      </c>
      <c r="O103" s="78">
        <f t="shared" si="14"/>
        <v>1.3242161503244962E-2</v>
      </c>
      <c r="P103" s="65"/>
      <c r="Q103" s="65"/>
    </row>
    <row r="104" spans="1:17" ht="17.100000000000001" customHeight="1" x14ac:dyDescent="0.2">
      <c r="A104" s="88" t="s">
        <v>204</v>
      </c>
      <c r="B104" s="72" t="s">
        <v>83</v>
      </c>
      <c r="C104" s="77">
        <v>15600</v>
      </c>
      <c r="D104" s="77"/>
      <c r="E104" s="77">
        <v>3600</v>
      </c>
      <c r="F104" s="77"/>
      <c r="G104" s="77"/>
      <c r="H104" s="77"/>
      <c r="I104" s="77"/>
      <c r="J104" s="77"/>
      <c r="K104" s="77"/>
      <c r="L104" s="77">
        <f t="shared" si="13"/>
        <v>12000</v>
      </c>
      <c r="M104" s="136">
        <v>2566.2599999999998</v>
      </c>
      <c r="N104" s="77">
        <f t="shared" si="15"/>
        <v>9433.74</v>
      </c>
      <c r="O104" s="78">
        <f t="shared" si="14"/>
        <v>6.0504239625477191E-4</v>
      </c>
      <c r="P104" s="65"/>
      <c r="Q104" s="65"/>
    </row>
    <row r="105" spans="1:17" ht="17.100000000000001" customHeight="1" x14ac:dyDescent="0.2">
      <c r="A105" s="88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136"/>
      <c r="N105" s="77"/>
      <c r="O105" s="78"/>
      <c r="P105" s="65"/>
      <c r="Q105" s="65"/>
    </row>
    <row r="106" spans="1:17" ht="17.100000000000001" customHeight="1" x14ac:dyDescent="0.25">
      <c r="A106" s="86">
        <v>3</v>
      </c>
      <c r="B106" s="87" t="s">
        <v>84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136"/>
      <c r="N106" s="77"/>
      <c r="O106" s="78"/>
      <c r="P106" s="65"/>
      <c r="Q106" s="65"/>
    </row>
    <row r="107" spans="1:17" ht="17.100000000000001" customHeight="1" x14ac:dyDescent="0.2">
      <c r="A107" s="88" t="s">
        <v>205</v>
      </c>
      <c r="B107" s="72" t="s">
        <v>85</v>
      </c>
      <c r="C107" s="77">
        <v>162200</v>
      </c>
      <c r="D107" s="77"/>
      <c r="E107" s="77"/>
      <c r="F107" s="77"/>
      <c r="G107" s="77"/>
      <c r="H107" s="77"/>
      <c r="I107" s="77"/>
      <c r="J107" s="77"/>
      <c r="K107" s="77"/>
      <c r="L107" s="77">
        <f t="shared" ref="L107:L114" si="16">C107+D107-E107+F107-G107+H107-I107+J107-K107</f>
        <v>162200</v>
      </c>
      <c r="M107" s="136">
        <v>1750</v>
      </c>
      <c r="N107" s="77">
        <f t="shared" si="15"/>
        <v>160450</v>
      </c>
      <c r="O107" s="78">
        <f t="shared" ref="O107:O112" si="17">M107/$M$123</f>
        <v>4.1259427861785282E-4</v>
      </c>
      <c r="P107" s="65"/>
      <c r="Q107" s="65"/>
    </row>
    <row r="108" spans="1:17" ht="17.100000000000001" customHeight="1" x14ac:dyDescent="0.2">
      <c r="A108" s="88" t="s">
        <v>206</v>
      </c>
      <c r="B108" s="72" t="s">
        <v>207</v>
      </c>
      <c r="C108" s="77">
        <v>0</v>
      </c>
      <c r="D108" s="77"/>
      <c r="E108" s="77"/>
      <c r="F108" s="77"/>
      <c r="G108" s="77"/>
      <c r="H108" s="77"/>
      <c r="I108" s="77"/>
      <c r="J108" s="77"/>
      <c r="K108" s="77"/>
      <c r="L108" s="77">
        <f t="shared" si="16"/>
        <v>0</v>
      </c>
      <c r="M108" s="136">
        <v>0</v>
      </c>
      <c r="N108" s="77">
        <f t="shared" si="15"/>
        <v>0</v>
      </c>
      <c r="O108" s="78">
        <f t="shared" si="17"/>
        <v>0</v>
      </c>
      <c r="P108" s="65"/>
      <c r="Q108" s="65"/>
    </row>
    <row r="109" spans="1:17" ht="17.100000000000001" customHeight="1" x14ac:dyDescent="0.2">
      <c r="A109" s="88" t="s">
        <v>208</v>
      </c>
      <c r="B109" s="72" t="s">
        <v>209</v>
      </c>
      <c r="C109" s="77">
        <v>1856690.49</v>
      </c>
      <c r="D109" s="77"/>
      <c r="E109" s="77"/>
      <c r="F109" s="77"/>
      <c r="G109" s="77"/>
      <c r="H109" s="77"/>
      <c r="I109" s="77"/>
      <c r="J109" s="77"/>
      <c r="K109" s="77"/>
      <c r="L109" s="77">
        <f t="shared" si="16"/>
        <v>1856690.49</v>
      </c>
      <c r="M109" s="136">
        <v>106297.24</v>
      </c>
      <c r="N109" s="77">
        <f t="shared" si="15"/>
        <v>1750393.25</v>
      </c>
      <c r="O109" s="78">
        <f t="shared" si="17"/>
        <v>2.5061504603925013E-2</v>
      </c>
      <c r="P109" s="65"/>
      <c r="Q109" s="65"/>
    </row>
    <row r="110" spans="1:17" ht="17.100000000000001" customHeight="1" x14ac:dyDescent="0.2">
      <c r="A110" s="88" t="s">
        <v>210</v>
      </c>
      <c r="B110" s="72" t="s">
        <v>211</v>
      </c>
      <c r="C110" s="77">
        <v>200000</v>
      </c>
      <c r="D110" s="77"/>
      <c r="E110" s="77"/>
      <c r="F110" s="77"/>
      <c r="G110" s="77"/>
      <c r="H110" s="77"/>
      <c r="I110" s="77"/>
      <c r="J110" s="77"/>
      <c r="K110" s="77"/>
      <c r="L110" s="77">
        <f t="shared" si="16"/>
        <v>200000</v>
      </c>
      <c r="M110" s="136">
        <v>0</v>
      </c>
      <c r="N110" s="77">
        <f t="shared" si="15"/>
        <v>200000</v>
      </c>
      <c r="O110" s="78">
        <f t="shared" si="17"/>
        <v>0</v>
      </c>
      <c r="P110" s="65"/>
      <c r="Q110" s="65"/>
    </row>
    <row r="111" spans="1:17" ht="17.100000000000001" customHeight="1" x14ac:dyDescent="0.2">
      <c r="A111" s="88" t="s">
        <v>212</v>
      </c>
      <c r="B111" s="72" t="s">
        <v>213</v>
      </c>
      <c r="C111" s="77">
        <v>500</v>
      </c>
      <c r="D111" s="77"/>
      <c r="E111" s="77"/>
      <c r="F111" s="77">
        <v>1200</v>
      </c>
      <c r="G111" s="77"/>
      <c r="H111" s="77"/>
      <c r="I111" s="77"/>
      <c r="J111" s="77"/>
      <c r="K111" s="77"/>
      <c r="L111" s="77">
        <f t="shared" si="16"/>
        <v>1700</v>
      </c>
      <c r="M111" s="136">
        <v>1199.92</v>
      </c>
      <c r="N111" s="77">
        <f t="shared" si="15"/>
        <v>500.07999999999993</v>
      </c>
      <c r="O111" s="78">
        <f t="shared" si="17"/>
        <v>2.8290292959950514E-4</v>
      </c>
      <c r="P111" s="65"/>
      <c r="Q111" s="65"/>
    </row>
    <row r="112" spans="1:17" ht="17.100000000000001" customHeight="1" x14ac:dyDescent="0.2">
      <c r="A112" s="88" t="s">
        <v>214</v>
      </c>
      <c r="B112" s="72" t="s">
        <v>215</v>
      </c>
      <c r="C112" s="77">
        <v>17500</v>
      </c>
      <c r="D112" s="77"/>
      <c r="E112" s="77"/>
      <c r="F112" s="77"/>
      <c r="G112" s="77"/>
      <c r="H112" s="77"/>
      <c r="I112" s="77"/>
      <c r="J112" s="77"/>
      <c r="K112" s="77"/>
      <c r="L112" s="77">
        <f t="shared" si="16"/>
        <v>17500</v>
      </c>
      <c r="M112" s="136">
        <v>5640</v>
      </c>
      <c r="N112" s="77">
        <f t="shared" si="15"/>
        <v>11860</v>
      </c>
      <c r="O112" s="78">
        <f t="shared" si="17"/>
        <v>1.3297324179455373E-3</v>
      </c>
      <c r="P112" s="65"/>
      <c r="Q112" s="65"/>
    </row>
    <row r="113" spans="1:17" ht="17.100000000000001" customHeight="1" x14ac:dyDescent="0.2">
      <c r="A113" s="88" t="s">
        <v>216</v>
      </c>
      <c r="B113" s="72" t="s">
        <v>217</v>
      </c>
      <c r="C113" s="77">
        <v>20500</v>
      </c>
      <c r="D113" s="77"/>
      <c r="E113" s="77"/>
      <c r="F113" s="77"/>
      <c r="G113" s="77"/>
      <c r="H113" s="77"/>
      <c r="I113" s="77"/>
      <c r="J113" s="77"/>
      <c r="K113" s="77"/>
      <c r="L113" s="77">
        <f t="shared" si="16"/>
        <v>20500</v>
      </c>
      <c r="M113" s="136">
        <v>0</v>
      </c>
      <c r="N113" s="77">
        <f t="shared" si="15"/>
        <v>20500</v>
      </c>
      <c r="O113" s="78"/>
      <c r="P113" s="65"/>
      <c r="Q113" s="65"/>
    </row>
    <row r="114" spans="1:17" ht="17.100000000000001" customHeight="1" x14ac:dyDescent="0.2">
      <c r="A114" s="88" t="s">
        <v>218</v>
      </c>
      <c r="B114" s="72" t="s">
        <v>219</v>
      </c>
      <c r="C114" s="77">
        <v>2784974.71</v>
      </c>
      <c r="D114" s="77"/>
      <c r="E114" s="77"/>
      <c r="F114" s="77"/>
      <c r="G114" s="77"/>
      <c r="H114" s="77"/>
      <c r="I114" s="77"/>
      <c r="J114" s="77"/>
      <c r="K114" s="77"/>
      <c r="L114" s="77">
        <f t="shared" si="16"/>
        <v>2784974.71</v>
      </c>
      <c r="M114" s="136">
        <v>0</v>
      </c>
      <c r="N114" s="77">
        <f t="shared" si="15"/>
        <v>2784974.71</v>
      </c>
      <c r="O114" s="78"/>
      <c r="P114" s="65"/>
      <c r="Q114" s="65"/>
    </row>
    <row r="115" spans="1:17" ht="17.100000000000001" customHeight="1" x14ac:dyDescent="0.2">
      <c r="A115" s="88"/>
      <c r="B115" s="72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136"/>
      <c r="N115" s="77"/>
      <c r="O115" s="78"/>
      <c r="P115" s="65"/>
      <c r="Q115" s="65"/>
    </row>
    <row r="116" spans="1:17" ht="17.100000000000001" customHeight="1" x14ac:dyDescent="0.25">
      <c r="A116" s="86">
        <v>4</v>
      </c>
      <c r="B116" s="87" t="s">
        <v>86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136"/>
      <c r="N116" s="77"/>
      <c r="O116" s="78"/>
      <c r="P116" s="65"/>
      <c r="Q116" s="65"/>
    </row>
    <row r="117" spans="1:17" ht="17.100000000000001" customHeight="1" x14ac:dyDescent="0.2">
      <c r="A117" s="88" t="s">
        <v>220</v>
      </c>
      <c r="B117" s="72" t="s">
        <v>221</v>
      </c>
      <c r="C117" s="77">
        <v>20750</v>
      </c>
      <c r="D117" s="77"/>
      <c r="E117" s="77"/>
      <c r="F117" s="77"/>
      <c r="G117" s="77"/>
      <c r="H117" s="77"/>
      <c r="I117" s="77"/>
      <c r="J117" s="77">
        <v>20000</v>
      </c>
      <c r="K117" s="77"/>
      <c r="L117" s="77">
        <f>C117+D117-E117+F117-G117+H117-I117+J117-K117</f>
        <v>40750</v>
      </c>
      <c r="M117" s="136">
        <v>15892.8</v>
      </c>
      <c r="N117" s="77">
        <f t="shared" si="15"/>
        <v>24857.200000000001</v>
      </c>
      <c r="O117" s="78">
        <f>M117/$M$123</f>
        <v>3.7470162006958923E-3</v>
      </c>
      <c r="P117" s="65"/>
      <c r="Q117" s="65"/>
    </row>
    <row r="118" spans="1:17" ht="17.100000000000001" customHeight="1" x14ac:dyDescent="0.2">
      <c r="A118" s="88" t="s">
        <v>222</v>
      </c>
      <c r="B118" s="72" t="s">
        <v>223</v>
      </c>
      <c r="C118" s="77">
        <v>7600</v>
      </c>
      <c r="D118" s="77"/>
      <c r="E118" s="77"/>
      <c r="F118" s="77"/>
      <c r="G118" s="77"/>
      <c r="H118" s="77"/>
      <c r="I118" s="77"/>
      <c r="J118" s="77">
        <v>7500</v>
      </c>
      <c r="K118" s="77"/>
      <c r="L118" s="77">
        <f>C118+D118-E118+F118-G118+H118-I118+J118-K118</f>
        <v>15100</v>
      </c>
      <c r="M118" s="136">
        <v>1324.4</v>
      </c>
      <c r="N118" s="77">
        <f t="shared" si="15"/>
        <v>13775.6</v>
      </c>
      <c r="O118" s="78">
        <f>M118/$M$123</f>
        <v>3.1225135005799105E-4</v>
      </c>
      <c r="P118" s="65"/>
      <c r="Q118" s="65"/>
    </row>
    <row r="119" spans="1:17" ht="17.100000000000001" customHeight="1" x14ac:dyDescent="0.2">
      <c r="A119" s="88" t="s">
        <v>224</v>
      </c>
      <c r="B119" s="72" t="s">
        <v>240</v>
      </c>
      <c r="C119" s="77">
        <v>9600</v>
      </c>
      <c r="D119" s="77"/>
      <c r="E119" s="77"/>
      <c r="F119" s="77">
        <v>46500</v>
      </c>
      <c r="G119" s="77"/>
      <c r="H119" s="77"/>
      <c r="I119" s="77"/>
      <c r="J119" s="77"/>
      <c r="K119" s="77"/>
      <c r="L119" s="77">
        <f>C119+D119-E119+F119-G119+H119-I119+J119-K119</f>
        <v>56100</v>
      </c>
      <c r="M119" s="136">
        <v>55850</v>
      </c>
      <c r="N119" s="77">
        <f t="shared" si="15"/>
        <v>250</v>
      </c>
      <c r="O119" s="78">
        <f>M119/$M$123</f>
        <v>1.3167651691889761E-2</v>
      </c>
      <c r="P119" s="65"/>
      <c r="Q119" s="65"/>
    </row>
    <row r="120" spans="1:17" ht="17.100000000000001" customHeight="1" x14ac:dyDescent="0.2">
      <c r="A120" s="88" t="s">
        <v>226</v>
      </c>
      <c r="B120" s="72" t="s">
        <v>227</v>
      </c>
      <c r="C120" s="77">
        <v>0</v>
      </c>
      <c r="D120" s="77">
        <v>20000</v>
      </c>
      <c r="E120" s="77"/>
      <c r="F120" s="77"/>
      <c r="G120" s="77">
        <v>20000</v>
      </c>
      <c r="H120" s="77"/>
      <c r="I120" s="77"/>
      <c r="J120" s="77"/>
      <c r="K120" s="77"/>
      <c r="L120" s="77">
        <f>C120+D120-E120+F120-G120+H120-I120+J120-K120</f>
        <v>0</v>
      </c>
      <c r="M120" s="136">
        <v>31.5</v>
      </c>
      <c r="N120" s="77">
        <v>31.5</v>
      </c>
      <c r="O120" s="78">
        <f>M120/$M$123</f>
        <v>7.4266970151213513E-6</v>
      </c>
      <c r="P120" s="65"/>
      <c r="Q120" s="65"/>
    </row>
    <row r="121" spans="1:17" s="65" customFormat="1" ht="17.100000000000001" customHeight="1" x14ac:dyDescent="0.2">
      <c r="A121" s="88" t="s">
        <v>228</v>
      </c>
      <c r="B121" s="72" t="s">
        <v>87</v>
      </c>
      <c r="C121" s="89">
        <v>11050</v>
      </c>
      <c r="D121" s="89"/>
      <c r="E121" s="89"/>
      <c r="F121" s="89"/>
      <c r="G121" s="89"/>
      <c r="H121" s="89"/>
      <c r="I121" s="89"/>
      <c r="J121" s="89"/>
      <c r="K121" s="89"/>
      <c r="L121" s="77">
        <f>C121+D121-E121+F121-G121+H121-I121+J121-K121</f>
        <v>11050</v>
      </c>
      <c r="M121" s="140">
        <v>6370.87</v>
      </c>
      <c r="N121" s="89">
        <f t="shared" si="15"/>
        <v>4679.13</v>
      </c>
      <c r="O121" s="78">
        <f>M121/$M$123</f>
        <v>1.5020482924674972E-3</v>
      </c>
    </row>
    <row r="122" spans="1:17" s="65" customFormat="1" ht="17.100000000000001" customHeight="1" thickBot="1" x14ac:dyDescent="0.25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141"/>
      <c r="N122" s="92"/>
      <c r="O122" s="93"/>
    </row>
    <row r="123" spans="1:17" s="65" customFormat="1" ht="17.100000000000001" customHeight="1" thickBot="1" x14ac:dyDescent="0.3">
      <c r="A123" s="80"/>
      <c r="B123" s="80" t="s">
        <v>88</v>
      </c>
      <c r="C123" s="81">
        <f>SUM(C25:C122)</f>
        <v>10804273.189999999</v>
      </c>
      <c r="D123" s="81">
        <f t="shared" ref="D123:K123" si="18">SUM(D25:D122)</f>
        <v>191539.09</v>
      </c>
      <c r="E123" s="81">
        <f t="shared" si="18"/>
        <v>94829</v>
      </c>
      <c r="F123" s="81">
        <f t="shared" si="18"/>
        <v>361650</v>
      </c>
      <c r="G123" s="81">
        <f t="shared" si="18"/>
        <v>106963</v>
      </c>
      <c r="H123" s="81">
        <f t="shared" si="18"/>
        <v>265000</v>
      </c>
      <c r="I123" s="81">
        <f t="shared" si="18"/>
        <v>25000</v>
      </c>
      <c r="J123" s="81">
        <f t="shared" si="18"/>
        <v>178000</v>
      </c>
      <c r="K123" s="81">
        <f t="shared" si="18"/>
        <v>178000</v>
      </c>
      <c r="L123" s="81">
        <f>SUM(L25:L122)</f>
        <v>11395670.280000001</v>
      </c>
      <c r="M123" s="137">
        <f>SUM(M25:M122)</f>
        <v>4241454.8399999989</v>
      </c>
      <c r="N123" s="81">
        <f>SUM(N25:N122)</f>
        <v>7154278.4400000004</v>
      </c>
      <c r="O123" s="94">
        <v>1</v>
      </c>
    </row>
    <row r="124" spans="1:17" s="65" customFormat="1" ht="15" x14ac:dyDescent="0.2">
      <c r="C124" s="95"/>
      <c r="D124" s="96"/>
      <c r="E124" s="97"/>
      <c r="F124" s="97"/>
      <c r="G124" s="97"/>
      <c r="H124" s="97"/>
      <c r="I124" s="97"/>
      <c r="J124" s="97"/>
      <c r="K124" s="97"/>
      <c r="L124" s="95"/>
      <c r="M124" s="142"/>
      <c r="N124" s="97"/>
    </row>
    <row r="125" spans="1:17" s="65" customFormat="1" ht="15.75" thickBot="1" x14ac:dyDescent="0.25">
      <c r="C125" s="97"/>
      <c r="D125" s="97"/>
      <c r="E125" s="97"/>
      <c r="F125" s="97"/>
      <c r="G125" s="97"/>
      <c r="H125" s="97"/>
      <c r="I125" s="97"/>
      <c r="J125" s="97"/>
      <c r="K125" s="97"/>
      <c r="L125" s="99"/>
      <c r="M125" s="143"/>
      <c r="N125" s="97"/>
    </row>
    <row r="126" spans="1:17" s="65" customFormat="1" ht="15.75" x14ac:dyDescent="0.25">
      <c r="A126" s="100" t="s">
        <v>89</v>
      </c>
      <c r="B126" s="101"/>
      <c r="C126" s="102"/>
      <c r="D126" s="97"/>
      <c r="E126" s="97"/>
      <c r="F126" s="97"/>
      <c r="G126" s="97"/>
      <c r="H126" s="97"/>
      <c r="I126" s="97"/>
      <c r="J126" s="97"/>
      <c r="K126" s="97"/>
      <c r="L126" s="97"/>
      <c r="M126" s="143"/>
      <c r="N126" s="97"/>
    </row>
    <row r="127" spans="1:17" s="65" customFormat="1" ht="15.75" x14ac:dyDescent="0.25">
      <c r="A127" s="103" t="s">
        <v>3</v>
      </c>
      <c r="B127" s="104"/>
      <c r="C127" s="105"/>
      <c r="D127" s="97"/>
      <c r="E127" s="97"/>
      <c r="F127" s="97"/>
      <c r="G127" s="97"/>
      <c r="H127" s="97"/>
      <c r="I127" s="97"/>
      <c r="J127" s="97"/>
      <c r="K127" s="97"/>
      <c r="L127" s="97"/>
      <c r="M127" s="144"/>
      <c r="N127" s="97"/>
    </row>
    <row r="128" spans="1:17" s="65" customFormat="1" ht="8.1" customHeight="1" thickBot="1" x14ac:dyDescent="0.25">
      <c r="A128" s="106"/>
      <c r="B128" s="107"/>
      <c r="C128" s="108"/>
      <c r="D128" s="97"/>
      <c r="E128" s="97"/>
      <c r="F128" s="97"/>
      <c r="G128" s="97"/>
      <c r="H128" s="97"/>
      <c r="I128" s="97"/>
      <c r="J128" s="97"/>
      <c r="K128" s="97"/>
      <c r="L128" s="97"/>
      <c r="M128" s="144"/>
      <c r="N128" s="97"/>
    </row>
    <row r="129" spans="1:14" s="65" customFormat="1" ht="8.1" customHeight="1" x14ac:dyDescent="0.2">
      <c r="A129" s="109"/>
      <c r="B129" s="110"/>
      <c r="C129" s="111"/>
      <c r="D129" s="97"/>
      <c r="E129" s="97"/>
      <c r="F129" s="97"/>
      <c r="G129" s="97"/>
      <c r="H129" s="97"/>
      <c r="I129" s="97"/>
      <c r="J129" s="97"/>
      <c r="K129" s="97"/>
      <c r="L129" s="97"/>
      <c r="M129" s="144"/>
      <c r="N129" s="97"/>
    </row>
    <row r="130" spans="1:14" s="65" customFormat="1" ht="15.95" customHeight="1" x14ac:dyDescent="0.2">
      <c r="A130" s="112" t="s">
        <v>90</v>
      </c>
      <c r="B130" s="113"/>
      <c r="C130" s="114"/>
      <c r="D130" s="97"/>
      <c r="E130" s="97"/>
      <c r="F130" s="97"/>
      <c r="G130" s="97"/>
      <c r="H130" s="97"/>
      <c r="I130" s="97"/>
      <c r="J130" s="97"/>
      <c r="K130" s="97"/>
      <c r="L130" s="97"/>
      <c r="M130" s="144"/>
      <c r="N130" s="97"/>
    </row>
    <row r="131" spans="1:14" s="65" customFormat="1" ht="15.95" customHeight="1" x14ac:dyDescent="0.2">
      <c r="A131" s="115" t="s">
        <v>229</v>
      </c>
      <c r="B131" s="113"/>
      <c r="C131" s="61">
        <f>198363.1+404138.05-4196.85</f>
        <v>598304.30000000005</v>
      </c>
      <c r="D131" s="97"/>
      <c r="E131" s="97"/>
      <c r="F131" s="97"/>
      <c r="G131" s="97"/>
      <c r="H131" s="97"/>
      <c r="I131" s="97"/>
      <c r="J131" s="97"/>
      <c r="K131" s="97"/>
      <c r="L131" s="97"/>
      <c r="M131" s="144"/>
      <c r="N131" s="97"/>
    </row>
    <row r="132" spans="1:14" s="65" customFormat="1" ht="15.95" customHeight="1" x14ac:dyDescent="0.2">
      <c r="A132" s="115" t="s">
        <v>91</v>
      </c>
      <c r="B132" s="113"/>
      <c r="C132" s="61">
        <f>+M20</f>
        <v>4390499.120000001</v>
      </c>
      <c r="D132" s="97"/>
      <c r="E132" s="97"/>
      <c r="F132" s="97"/>
      <c r="G132" s="97"/>
      <c r="H132" s="97"/>
      <c r="I132" s="97"/>
      <c r="J132" s="97"/>
      <c r="K132" s="97"/>
      <c r="L132" s="97"/>
      <c r="M132" s="144"/>
      <c r="N132" s="97"/>
    </row>
    <row r="133" spans="1:14" s="65" customFormat="1" ht="15.95" customHeight="1" x14ac:dyDescent="0.2">
      <c r="A133" s="115" t="s">
        <v>92</v>
      </c>
      <c r="B133" s="113"/>
      <c r="C133" s="116">
        <f>-M123</f>
        <v>-4241454.8399999989</v>
      </c>
      <c r="D133" s="97"/>
      <c r="E133" s="97"/>
      <c r="F133" s="97"/>
      <c r="G133" s="97"/>
      <c r="H133" s="97"/>
      <c r="I133" s="97"/>
      <c r="J133" s="97"/>
      <c r="K133" s="97"/>
      <c r="L133" s="97"/>
      <c r="M133" s="144"/>
      <c r="N133" s="97"/>
    </row>
    <row r="134" spans="1:14" s="65" customFormat="1" ht="15.95" customHeight="1" x14ac:dyDescent="0.25">
      <c r="A134" s="117" t="s">
        <v>93</v>
      </c>
      <c r="B134" s="118"/>
      <c r="C134" s="119">
        <f>SUM(C131:C133)</f>
        <v>747348.58000000194</v>
      </c>
      <c r="D134" s="97"/>
      <c r="E134" s="97"/>
      <c r="F134" s="97"/>
      <c r="G134" s="97"/>
      <c r="H134" s="97"/>
      <c r="I134" s="97"/>
      <c r="J134" s="97"/>
      <c r="K134" s="97"/>
      <c r="L134" s="97"/>
      <c r="M134" s="144"/>
      <c r="N134" s="97"/>
    </row>
    <row r="135" spans="1:14" s="65" customFormat="1" ht="8.1" customHeight="1" x14ac:dyDescent="0.25">
      <c r="A135" s="117"/>
      <c r="B135" s="118"/>
      <c r="C135" s="119"/>
      <c r="D135" s="97"/>
      <c r="E135" s="97"/>
      <c r="F135" s="97"/>
      <c r="G135" s="97"/>
      <c r="H135" s="97"/>
      <c r="I135" s="97"/>
      <c r="J135" s="97"/>
      <c r="K135" s="97"/>
      <c r="L135" s="97"/>
      <c r="M135" s="144"/>
      <c r="N135" s="97"/>
    </row>
    <row r="136" spans="1:14" s="65" customFormat="1" ht="15.95" customHeight="1" x14ac:dyDescent="0.2">
      <c r="A136" s="112" t="s">
        <v>94</v>
      </c>
      <c r="B136" s="113"/>
      <c r="C136" s="61"/>
      <c r="D136" s="97"/>
      <c r="E136" s="97"/>
      <c r="F136" s="97"/>
      <c r="G136" s="97"/>
      <c r="H136" s="97"/>
      <c r="I136" s="97"/>
      <c r="J136" s="97"/>
      <c r="K136" s="97"/>
      <c r="L136" s="97"/>
      <c r="M136" s="144"/>
      <c r="N136" s="97"/>
    </row>
    <row r="137" spans="1:14" s="65" customFormat="1" ht="15.95" customHeight="1" x14ac:dyDescent="0.2">
      <c r="A137" s="115" t="s">
        <v>95</v>
      </c>
      <c r="B137" s="113"/>
      <c r="C137" s="61">
        <v>2944.52</v>
      </c>
      <c r="D137" s="97"/>
      <c r="E137" s="97"/>
      <c r="F137" s="97"/>
      <c r="G137" s="97"/>
      <c r="H137" s="97"/>
      <c r="I137" s="97"/>
      <c r="J137" s="97"/>
      <c r="K137" s="97"/>
      <c r="L137" s="97"/>
      <c r="M137" s="144"/>
      <c r="N137" s="97"/>
    </row>
    <row r="138" spans="1:14" s="65" customFormat="1" ht="15.95" customHeight="1" x14ac:dyDescent="0.2">
      <c r="A138" s="115" t="s">
        <v>280</v>
      </c>
      <c r="B138" s="113"/>
      <c r="C138" s="61">
        <v>104.66</v>
      </c>
      <c r="D138" s="97"/>
      <c r="E138" s="97"/>
      <c r="F138" s="97"/>
      <c r="G138" s="97"/>
      <c r="H138" s="97"/>
      <c r="I138" s="97"/>
      <c r="J138" s="97"/>
      <c r="K138" s="97"/>
      <c r="L138" s="97"/>
      <c r="M138" s="144"/>
      <c r="N138" s="97"/>
    </row>
    <row r="139" spans="1:14" s="65" customFormat="1" ht="15.95" customHeight="1" x14ac:dyDescent="0.2">
      <c r="A139" s="115" t="s">
        <v>97</v>
      </c>
      <c r="B139" s="113"/>
      <c r="C139" s="61">
        <v>3647.19</v>
      </c>
      <c r="D139" s="97"/>
      <c r="E139" s="97"/>
      <c r="F139" s="97"/>
      <c r="G139" s="97"/>
      <c r="H139" s="97"/>
      <c r="I139" s="97"/>
      <c r="J139" s="97"/>
      <c r="K139" s="97"/>
      <c r="L139" s="97"/>
      <c r="M139" s="144"/>
      <c r="N139" s="97"/>
    </row>
    <row r="140" spans="1:14" s="2" customFormat="1" ht="15.95" customHeight="1" x14ac:dyDescent="0.2">
      <c r="A140" s="57" t="s">
        <v>299</v>
      </c>
      <c r="B140" s="30"/>
      <c r="C140" s="51">
        <v>11833.84</v>
      </c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4" s="65" customFormat="1" ht="5.0999999999999996" customHeight="1" x14ac:dyDescent="0.2">
      <c r="A141" s="115"/>
      <c r="B141" s="113"/>
      <c r="C141" s="116"/>
      <c r="D141" s="97"/>
      <c r="E141" s="97"/>
      <c r="F141" s="97"/>
      <c r="G141" s="97"/>
      <c r="H141" s="97"/>
      <c r="I141" s="97"/>
      <c r="J141" s="97"/>
      <c r="K141" s="97"/>
      <c r="L141" s="97"/>
      <c r="M141" s="144"/>
      <c r="N141" s="97"/>
    </row>
    <row r="142" spans="1:14" s="65" customFormat="1" ht="15.75" x14ac:dyDescent="0.25">
      <c r="A142" s="117"/>
      <c r="B142" s="118"/>
      <c r="C142" s="119">
        <f>SUM(C137:C141)</f>
        <v>18530.21</v>
      </c>
      <c r="D142" s="97"/>
      <c r="E142" s="97"/>
      <c r="F142" s="97"/>
      <c r="G142" s="97"/>
      <c r="H142" s="97"/>
      <c r="I142" s="97"/>
      <c r="J142" s="97"/>
      <c r="K142" s="97"/>
      <c r="L142" s="97"/>
      <c r="M142" s="144"/>
      <c r="N142" s="97"/>
    </row>
    <row r="143" spans="1:14" s="65" customFormat="1" ht="5.0999999999999996" customHeight="1" x14ac:dyDescent="0.25">
      <c r="A143" s="117"/>
      <c r="B143" s="118"/>
      <c r="C143" s="120"/>
      <c r="D143" s="97"/>
      <c r="E143" s="97"/>
      <c r="F143" s="97"/>
      <c r="G143" s="97"/>
      <c r="H143" s="97"/>
      <c r="I143" s="97"/>
      <c r="J143" s="97"/>
      <c r="K143" s="97"/>
      <c r="L143" s="97"/>
      <c r="M143" s="144"/>
      <c r="N143" s="97"/>
    </row>
    <row r="144" spans="1:14" s="65" customFormat="1" ht="8.1" customHeight="1" x14ac:dyDescent="0.25">
      <c r="A144" s="117"/>
      <c r="B144" s="118"/>
      <c r="C144" s="119"/>
      <c r="D144" s="97"/>
      <c r="E144" s="97"/>
      <c r="F144" s="97"/>
      <c r="G144" s="97"/>
      <c r="H144" s="97"/>
      <c r="I144" s="97"/>
      <c r="J144" s="97"/>
      <c r="K144" s="97"/>
      <c r="L144" s="97"/>
      <c r="M144" s="144"/>
      <c r="N144" s="97"/>
    </row>
    <row r="145" spans="1:14" s="65" customFormat="1" ht="16.5" thickBot="1" x14ac:dyDescent="0.3">
      <c r="A145" s="121" t="s">
        <v>297</v>
      </c>
      <c r="B145" s="122"/>
      <c r="C145" s="123">
        <f>C134+C142</f>
        <v>765878.7900000019</v>
      </c>
      <c r="D145" s="97"/>
      <c r="E145" s="97"/>
      <c r="F145" s="97"/>
      <c r="G145" s="97"/>
      <c r="H145" s="97"/>
      <c r="I145" s="97"/>
      <c r="J145" s="97"/>
      <c r="K145" s="97"/>
      <c r="L145" s="97"/>
      <c r="M145" s="144"/>
      <c r="N145" s="97"/>
    </row>
    <row r="146" spans="1:14" s="65" customFormat="1" ht="15" x14ac:dyDescent="0.2">
      <c r="A146" s="65" t="s">
        <v>277</v>
      </c>
      <c r="C146" s="146">
        <f>765878.79-C145</f>
        <v>-1.862645149230957E-9</v>
      </c>
      <c r="D146" s="97"/>
      <c r="E146" s="97"/>
      <c r="F146" s="97"/>
      <c r="G146" s="97"/>
      <c r="H146" s="97"/>
      <c r="I146" s="97"/>
      <c r="J146" s="97"/>
      <c r="K146" s="97"/>
      <c r="L146" s="97"/>
      <c r="M146" s="144"/>
      <c r="N146" s="97"/>
    </row>
    <row r="147" spans="1:14" s="65" customFormat="1" ht="15" x14ac:dyDescent="0.2">
      <c r="C147" s="97"/>
      <c r="M147" s="133"/>
    </row>
    <row r="148" spans="1:14" s="65" customFormat="1" ht="15" x14ac:dyDescent="0.2">
      <c r="B148" s="65" t="s">
        <v>298</v>
      </c>
      <c r="M148" s="133"/>
    </row>
    <row r="149" spans="1:14" s="65" customFormat="1" ht="15" x14ac:dyDescent="0.2">
      <c r="M149" s="133"/>
    </row>
    <row r="150" spans="1:14" s="65" customFormat="1" ht="15" x14ac:dyDescent="0.2">
      <c r="M150" s="133"/>
    </row>
    <row r="151" spans="1:14" s="65" customFormat="1" ht="15" x14ac:dyDescent="0.2">
      <c r="M151" s="133"/>
    </row>
    <row r="152" spans="1:14" s="65" customFormat="1" ht="15" x14ac:dyDescent="0.2">
      <c r="M152" s="133"/>
    </row>
    <row r="153" spans="1:14" s="65" customFormat="1" ht="15" x14ac:dyDescent="0.2">
      <c r="M153" s="133"/>
    </row>
    <row r="154" spans="1:14" s="65" customFormat="1" ht="15" x14ac:dyDescent="0.2">
      <c r="M154" s="133"/>
    </row>
    <row r="155" spans="1:14" s="65" customFormat="1" ht="15" x14ac:dyDescent="0.2">
      <c r="M155" s="133"/>
    </row>
    <row r="156" spans="1:14" s="65" customFormat="1" ht="15" x14ac:dyDescent="0.2">
      <c r="B156" s="65" t="s">
        <v>98</v>
      </c>
      <c r="F156" s="65" t="s">
        <v>99</v>
      </c>
      <c r="I156" s="124"/>
      <c r="J156" s="65" t="s">
        <v>291</v>
      </c>
      <c r="K156" s="124"/>
      <c r="M156" s="133"/>
    </row>
    <row r="157" spans="1:14" s="65" customFormat="1" ht="15" x14ac:dyDescent="0.2">
      <c r="B157" s="65" t="s">
        <v>100</v>
      </c>
      <c r="F157" s="65" t="s">
        <v>101</v>
      </c>
      <c r="I157" s="124"/>
      <c r="J157" s="65" t="s">
        <v>105</v>
      </c>
      <c r="K157" s="124"/>
      <c r="M157" s="133"/>
    </row>
    <row r="165" spans="7:7" x14ac:dyDescent="0.2">
      <c r="G165" s="130"/>
    </row>
  </sheetData>
  <mergeCells count="2">
    <mergeCell ref="B6:B7"/>
    <mergeCell ref="M6:M7"/>
  </mergeCells>
  <printOptions horizontalCentered="1"/>
  <pageMargins left="0.19685039370078741" right="0.19685039370078741" top="0.78740157480314965" bottom="0.59055118110236227" header="0.39370078740157483" footer="0.39370078740157483"/>
  <pageSetup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 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'SEPTIEMBRE '!Área_de_impresión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'SEPTIEMBRE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Paulo Escobar</cp:lastModifiedBy>
  <cp:lastPrinted>2018-01-12T15:16:23Z</cp:lastPrinted>
  <dcterms:created xsi:type="dcterms:W3CDTF">2017-02-06T21:59:17Z</dcterms:created>
  <dcterms:modified xsi:type="dcterms:W3CDTF">2018-03-11T23:14:09Z</dcterms:modified>
</cp:coreProperties>
</file>